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https://intalu.sharepoint.com/sites/IAITeamSite/FoldersDocuments/Environment/Life Cycle Inventory &amp; Impact Assessment/2019/Report/Final/"/>
    </mc:Choice>
  </mc:AlternateContent>
  <xr:revisionPtr revIDLastSave="95" documentId="8_{1F95999C-E939-42EB-BBAD-93EF7EA8C41C}" xr6:coauthVersionLast="47" xr6:coauthVersionMax="47" xr10:uidLastSave="{2AE1DF4A-9A4C-C042-924E-593781011089}"/>
  <bookViews>
    <workbookView xWindow="9980" yWindow="500" windowWidth="18820" windowHeight="16220" tabRatio="759" firstSheet="2" activeTab="3" xr2:uid="{00000000-000D-0000-FFFF-FFFF00000000}"/>
  </bookViews>
  <sheets>
    <sheet name="Overview" sheetId="16" r:id="rId1"/>
    <sheet name="Process Flow Diagram" sheetId="32" r:id="rId2"/>
    <sheet name="Summary (Region &amp; Unit Process)" sheetId="36" r:id="rId3"/>
    <sheet name="Global (product)" sheetId="20" r:id="rId4"/>
    <sheet name="Africa (product)" sheetId="27" r:id="rId5"/>
    <sheet name="NAM (product)" sheetId="24" r:id="rId6"/>
    <sheet name="Canada (product)" sheetId="23" r:id="rId7"/>
    <sheet name="South America (product)" sheetId="31" r:id="rId8"/>
    <sheet name="China (product)" sheetId="28" r:id="rId9"/>
    <sheet name="Other Asia (product)" sheetId="29" r:id="rId10"/>
    <sheet name="GCC (product)" sheetId="25" r:id="rId11"/>
    <sheet name="Europe (product)" sheetId="26" r:id="rId12"/>
    <sheet name="Russia and Other Euro (product)" sheetId="30" r:id="rId13"/>
    <sheet name="Oceania (product)" sheetId="22" r:id="rId14"/>
  </sheets>
  <externalReferences>
    <externalReference r:id="rId15"/>
  </externalReferences>
  <definedNames>
    <definedName name="_xlnm.Print_Area" localSheetId="1">'Process Flow Diagram'!$A$1:$AD$58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5" i="36" l="1"/>
  <c r="N41" i="36" l="1"/>
  <c r="X24" i="36"/>
  <c r="X23" i="36"/>
  <c r="AK82" i="36"/>
  <c r="AK81" i="36"/>
  <c r="E9" i="36" l="1"/>
  <c r="U9" i="36"/>
  <c r="H19" i="32"/>
  <c r="M48" i="20"/>
  <c r="I23" i="32"/>
  <c r="BF101" i="36"/>
  <c r="BE101" i="36"/>
  <c r="BD101" i="36"/>
  <c r="BC101" i="36"/>
  <c r="BB101" i="36"/>
  <c r="BA101" i="36"/>
  <c r="AZ101" i="36"/>
  <c r="AY101" i="36"/>
  <c r="AX101" i="36"/>
  <c r="BF100" i="36"/>
  <c r="BE100" i="36"/>
  <c r="BD100" i="36"/>
  <c r="BC100" i="36"/>
  <c r="BB100" i="36"/>
  <c r="BA100" i="36"/>
  <c r="AZ100" i="36"/>
  <c r="AY100" i="36"/>
  <c r="AX100" i="36"/>
  <c r="AW100" i="36"/>
  <c r="BF99" i="36"/>
  <c r="BE99" i="36"/>
  <c r="BD99" i="36"/>
  <c r="BC99" i="36"/>
  <c r="BB99" i="36"/>
  <c r="BA99" i="36"/>
  <c r="AZ99" i="36"/>
  <c r="AY99" i="36"/>
  <c r="AX99" i="36"/>
  <c r="AW99" i="36"/>
  <c r="BF98" i="36"/>
  <c r="BE98" i="36"/>
  <c r="BD98" i="36"/>
  <c r="BC98" i="36"/>
  <c r="BB98" i="36"/>
  <c r="BA98" i="36"/>
  <c r="AZ98" i="36"/>
  <c r="AY98" i="36"/>
  <c r="AX98" i="36"/>
  <c r="AW98" i="36"/>
  <c r="BF97" i="36"/>
  <c r="BD97" i="36"/>
  <c r="BA97" i="36"/>
  <c r="AY97" i="36"/>
  <c r="AX85" i="36"/>
  <c r="AY85" i="36"/>
  <c r="AZ85" i="36"/>
  <c r="BA85" i="36"/>
  <c r="BB85" i="36"/>
  <c r="BC85" i="36"/>
  <c r="BD85" i="36"/>
  <c r="BE85" i="36"/>
  <c r="BF85" i="36"/>
  <c r="AX86" i="36"/>
  <c r="AY86" i="36"/>
  <c r="AZ86" i="36"/>
  <c r="BA86" i="36"/>
  <c r="BB86" i="36"/>
  <c r="BC86" i="36"/>
  <c r="BD86" i="36"/>
  <c r="BE86" i="36"/>
  <c r="BF86" i="36"/>
  <c r="BF83" i="36"/>
  <c r="BD83" i="36"/>
  <c r="BC83" i="36"/>
  <c r="BB83" i="36"/>
  <c r="BA83" i="36"/>
  <c r="AY83" i="36"/>
  <c r="AX72" i="36"/>
  <c r="AY72" i="36"/>
  <c r="AZ72" i="36"/>
  <c r="BA72" i="36"/>
  <c r="BB72" i="36"/>
  <c r="BC72" i="36"/>
  <c r="BD72" i="36"/>
  <c r="BE72" i="36"/>
  <c r="BF72" i="36"/>
  <c r="AX73" i="36"/>
  <c r="AY73" i="36"/>
  <c r="AZ73" i="36"/>
  <c r="BA73" i="36"/>
  <c r="BB73" i="36"/>
  <c r="BC73" i="36"/>
  <c r="BD73" i="36"/>
  <c r="BE73" i="36"/>
  <c r="BF73" i="36"/>
  <c r="AX74" i="36"/>
  <c r="AY74" i="36"/>
  <c r="AZ74" i="36"/>
  <c r="BA74" i="36"/>
  <c r="BB74" i="36"/>
  <c r="BC74" i="36"/>
  <c r="BD74" i="36"/>
  <c r="BE74" i="36"/>
  <c r="BF74" i="36"/>
  <c r="BF71" i="36"/>
  <c r="BD71" i="36"/>
  <c r="BC71" i="36"/>
  <c r="BB71" i="36"/>
  <c r="BA71" i="36"/>
  <c r="AY71" i="36"/>
  <c r="BF67" i="36"/>
  <c r="BD67" i="36"/>
  <c r="BC67" i="36"/>
  <c r="BB67" i="36"/>
  <c r="BA67" i="36"/>
  <c r="AY67" i="36"/>
  <c r="AX57" i="36"/>
  <c r="AY57" i="36"/>
  <c r="AZ57" i="36"/>
  <c r="BA57" i="36"/>
  <c r="BB57" i="36"/>
  <c r="BC57" i="36"/>
  <c r="BD57" i="36"/>
  <c r="BE57" i="36"/>
  <c r="BF57" i="36"/>
  <c r="AX58" i="36"/>
  <c r="AY58" i="36"/>
  <c r="AZ58" i="36"/>
  <c r="BA58" i="36"/>
  <c r="BB58" i="36"/>
  <c r="BC58" i="36"/>
  <c r="BD58" i="36"/>
  <c r="BE58" i="36"/>
  <c r="BF58" i="36"/>
  <c r="BF56" i="36"/>
  <c r="BD56" i="36"/>
  <c r="BC56" i="36"/>
  <c r="BB56" i="36"/>
  <c r="BA56" i="36"/>
  <c r="AY56" i="36"/>
  <c r="AX49" i="36"/>
  <c r="AY49" i="36"/>
  <c r="AZ49" i="36"/>
  <c r="BA49" i="36"/>
  <c r="BB49" i="36"/>
  <c r="BC49" i="36"/>
  <c r="BD49" i="36"/>
  <c r="BE49" i="36"/>
  <c r="BF49" i="36"/>
  <c r="AX50" i="36"/>
  <c r="AY50" i="36"/>
  <c r="AZ50" i="36"/>
  <c r="BA50" i="36"/>
  <c r="BB50" i="36"/>
  <c r="BC50" i="36"/>
  <c r="BD50" i="36"/>
  <c r="BE50" i="36"/>
  <c r="BF50" i="36"/>
  <c r="AX51" i="36"/>
  <c r="AY51" i="36"/>
  <c r="AZ51" i="36"/>
  <c r="BA51" i="36"/>
  <c r="BB51" i="36"/>
  <c r="BC51" i="36"/>
  <c r="BD51" i="36"/>
  <c r="BE51" i="36"/>
  <c r="BF51" i="36"/>
  <c r="AX52" i="36"/>
  <c r="AY52" i="36"/>
  <c r="AZ52" i="36"/>
  <c r="BA52" i="36"/>
  <c r="BB52" i="36"/>
  <c r="BC52" i="36"/>
  <c r="BD52" i="36"/>
  <c r="BE52" i="36"/>
  <c r="BF52" i="36"/>
  <c r="BF48" i="36"/>
  <c r="BD48" i="36"/>
  <c r="BC48" i="36"/>
  <c r="BB48" i="36"/>
  <c r="BA48" i="36"/>
  <c r="AY48" i="36"/>
  <c r="AX40" i="36"/>
  <c r="AY40" i="36"/>
  <c r="AZ40" i="36"/>
  <c r="BA40" i="36"/>
  <c r="BB40" i="36"/>
  <c r="BC40" i="36"/>
  <c r="BD40" i="36"/>
  <c r="BE40" i="36"/>
  <c r="BF40" i="36"/>
  <c r="BF39" i="36"/>
  <c r="BD39" i="36"/>
  <c r="K36" i="25"/>
  <c r="BC39" i="36"/>
  <c r="BB39" i="36"/>
  <c r="BA39" i="36"/>
  <c r="AY39" i="36"/>
  <c r="AX32" i="36"/>
  <c r="AY32" i="36"/>
  <c r="AZ32" i="36"/>
  <c r="BA32" i="36"/>
  <c r="BB32" i="36"/>
  <c r="BC32" i="36"/>
  <c r="BD32" i="36"/>
  <c r="BE32" i="36"/>
  <c r="BF32" i="36"/>
  <c r="AX33" i="36"/>
  <c r="AY33" i="36"/>
  <c r="AZ33" i="36"/>
  <c r="BA33" i="36"/>
  <c r="BB33" i="36"/>
  <c r="BC33" i="36"/>
  <c r="BD33" i="36"/>
  <c r="BE33" i="36"/>
  <c r="BF33" i="36"/>
  <c r="AX34" i="36"/>
  <c r="AY34" i="36"/>
  <c r="AZ34" i="36"/>
  <c r="BA34" i="36"/>
  <c r="BB34" i="36"/>
  <c r="BC34" i="36"/>
  <c r="BD34" i="36"/>
  <c r="BE34" i="36"/>
  <c r="BF34" i="36"/>
  <c r="AX35" i="36"/>
  <c r="AY35" i="36"/>
  <c r="AZ35" i="36"/>
  <c r="BA35" i="36"/>
  <c r="BB35" i="36"/>
  <c r="BC35" i="36"/>
  <c r="BD35" i="36"/>
  <c r="BE35" i="36"/>
  <c r="BF35" i="36"/>
  <c r="BF31" i="36"/>
  <c r="BD31" i="36"/>
  <c r="BC31" i="36"/>
  <c r="BB31" i="36"/>
  <c r="BA31" i="36"/>
  <c r="AY31" i="36"/>
  <c r="AX22" i="36"/>
  <c r="AY22" i="36"/>
  <c r="AZ22" i="36"/>
  <c r="BA22" i="36"/>
  <c r="BB22" i="36"/>
  <c r="BC22" i="36"/>
  <c r="BD22" i="36"/>
  <c r="BE22" i="36"/>
  <c r="BF22" i="36"/>
  <c r="BF21" i="36"/>
  <c r="BD21" i="36"/>
  <c r="BC21" i="36"/>
  <c r="BB21" i="36"/>
  <c r="BA21" i="36"/>
  <c r="AY21" i="36"/>
  <c r="K37" i="25"/>
  <c r="BC10" i="36"/>
  <c r="AY8" i="36"/>
  <c r="AY10" i="36"/>
  <c r="BD7" i="36"/>
  <c r="AS6" i="36"/>
  <c r="BE6" i="36"/>
  <c r="BE7" i="36"/>
  <c r="BF7" i="36"/>
  <c r="BG7" i="36"/>
  <c r="AT94" i="36"/>
  <c r="AT95" i="36"/>
  <c r="AT96" i="36"/>
  <c r="AT97" i="36"/>
  <c r="AT93" i="36"/>
  <c r="AT82" i="36"/>
  <c r="AT83" i="36"/>
  <c r="AT84" i="36"/>
  <c r="AT81" i="36"/>
  <c r="AT77" i="36"/>
  <c r="AT72" i="36"/>
  <c r="AT73" i="36"/>
  <c r="AT74" i="36"/>
  <c r="AT76" i="36"/>
  <c r="AT71" i="36"/>
  <c r="AT57" i="36"/>
  <c r="AT58" i="36"/>
  <c r="AT60" i="36"/>
  <c r="AT61" i="36"/>
  <c r="AT62" i="36"/>
  <c r="AT63" i="36"/>
  <c r="AT64" i="36"/>
  <c r="AT65" i="36"/>
  <c r="AT66" i="36"/>
  <c r="AT56" i="36"/>
  <c r="AT52" i="36"/>
  <c r="AT40" i="36"/>
  <c r="AT39" i="36"/>
  <c r="AT26" i="36"/>
  <c r="AT27" i="36"/>
  <c r="AT28" i="36"/>
  <c r="AT29" i="36"/>
  <c r="AT30" i="36"/>
  <c r="AT25" i="36"/>
  <c r="AT22" i="36"/>
  <c r="AT21" i="36"/>
  <c r="AT14" i="36"/>
  <c r="AT15" i="36"/>
  <c r="AT13" i="36"/>
  <c r="AS94" i="36"/>
  <c r="AS95" i="36"/>
  <c r="AS96" i="36"/>
  <c r="AS97" i="36"/>
  <c r="AS93" i="36"/>
  <c r="AS82" i="36"/>
  <c r="AS83" i="36"/>
  <c r="AS84" i="36"/>
  <c r="AS81" i="36"/>
  <c r="AS72" i="36"/>
  <c r="AS73" i="36"/>
  <c r="AS74" i="36"/>
  <c r="AS76" i="36"/>
  <c r="AS77" i="36"/>
  <c r="AS71" i="36"/>
  <c r="AS61" i="36"/>
  <c r="AS62" i="36"/>
  <c r="AS63" i="36"/>
  <c r="AS64" i="36"/>
  <c r="AS65" i="36"/>
  <c r="AS66" i="36"/>
  <c r="AS57" i="36"/>
  <c r="AS58" i="36"/>
  <c r="AS60" i="36"/>
  <c r="AS56" i="36"/>
  <c r="AS40" i="36"/>
  <c r="AS39" i="36"/>
  <c r="AS26" i="36"/>
  <c r="AS27" i="36"/>
  <c r="I26" i="27"/>
  <c r="AS28" i="36"/>
  <c r="AS29" i="36"/>
  <c r="AS30" i="36"/>
  <c r="AS25" i="36"/>
  <c r="AS22" i="36"/>
  <c r="AS21" i="36"/>
  <c r="AS14" i="36"/>
  <c r="AS15" i="36"/>
  <c r="AS13" i="36"/>
  <c r="AR94" i="36"/>
  <c r="AR95" i="36"/>
  <c r="AR96" i="36"/>
  <c r="AR97" i="36"/>
  <c r="AR93" i="36"/>
  <c r="AR82" i="36"/>
  <c r="AR83" i="36"/>
  <c r="AR84" i="36"/>
  <c r="AR81" i="36"/>
  <c r="AR72" i="36"/>
  <c r="AR73" i="36"/>
  <c r="AR74" i="36"/>
  <c r="AR76" i="36"/>
  <c r="AR77" i="36"/>
  <c r="AR71" i="36"/>
  <c r="AR60" i="36"/>
  <c r="AR61" i="36"/>
  <c r="AR62" i="36"/>
  <c r="AR63" i="36"/>
  <c r="AR64" i="36"/>
  <c r="AR65" i="36"/>
  <c r="AR66" i="36"/>
  <c r="AR57" i="36"/>
  <c r="AR58" i="36"/>
  <c r="AR56" i="36"/>
  <c r="AR52" i="36"/>
  <c r="AR40" i="36"/>
  <c r="AR39" i="36"/>
  <c r="AR25" i="36"/>
  <c r="AR26" i="36"/>
  <c r="AR27" i="36"/>
  <c r="AR28" i="36"/>
  <c r="AR29" i="36"/>
  <c r="AR30" i="36"/>
  <c r="AR22" i="36"/>
  <c r="AR21" i="36"/>
  <c r="AR14" i="36"/>
  <c r="AR15" i="36"/>
  <c r="AR13" i="36"/>
  <c r="AP94" i="36"/>
  <c r="AQ94" i="36"/>
  <c r="AP95" i="36"/>
  <c r="AQ95" i="36"/>
  <c r="AP96" i="36"/>
  <c r="AQ96" i="36"/>
  <c r="AP97" i="36"/>
  <c r="AQ97" i="36"/>
  <c r="AQ93" i="36"/>
  <c r="AP93" i="36"/>
  <c r="AP82" i="36"/>
  <c r="AQ82" i="36"/>
  <c r="AP83" i="36"/>
  <c r="AQ83" i="36"/>
  <c r="AP84" i="36"/>
  <c r="AQ84" i="36"/>
  <c r="AQ81" i="36"/>
  <c r="AP81" i="36"/>
  <c r="AP72" i="36"/>
  <c r="AQ72" i="36"/>
  <c r="AP73" i="36"/>
  <c r="AQ73" i="36"/>
  <c r="AP74" i="36"/>
  <c r="AQ74" i="36"/>
  <c r="AP76" i="36"/>
  <c r="AQ76" i="36"/>
  <c r="AP77" i="36"/>
  <c r="AQ77" i="36"/>
  <c r="AQ71" i="36"/>
  <c r="AP71" i="36"/>
  <c r="AP60" i="36"/>
  <c r="AQ60" i="36"/>
  <c r="AP61" i="36"/>
  <c r="AQ61" i="36"/>
  <c r="AP62" i="36"/>
  <c r="AQ62" i="36"/>
  <c r="AP63" i="36"/>
  <c r="AQ63" i="36"/>
  <c r="AP64" i="36"/>
  <c r="AQ64" i="36"/>
  <c r="AP65" i="36"/>
  <c r="AQ65" i="36"/>
  <c r="AP66" i="36"/>
  <c r="AQ66" i="36"/>
  <c r="AP57" i="36"/>
  <c r="AQ57" i="36"/>
  <c r="AP58" i="36"/>
  <c r="AQ58" i="36"/>
  <c r="AQ56" i="36"/>
  <c r="AP56" i="36"/>
  <c r="AQ52" i="36"/>
  <c r="AP52" i="36"/>
  <c r="AP40" i="36"/>
  <c r="AQ40" i="36"/>
  <c r="AQ39" i="36"/>
  <c r="AP39" i="36"/>
  <c r="AP26" i="36"/>
  <c r="AQ26" i="36"/>
  <c r="AP27" i="36"/>
  <c r="AQ27" i="36"/>
  <c r="AP28" i="36"/>
  <c r="AQ28" i="36"/>
  <c r="AP29" i="36"/>
  <c r="AQ29" i="36"/>
  <c r="AP30" i="36"/>
  <c r="AQ30" i="36"/>
  <c r="AQ25" i="36"/>
  <c r="AP25" i="36"/>
  <c r="AP22" i="36"/>
  <c r="AQ22" i="36"/>
  <c r="AQ21" i="36"/>
  <c r="AP21" i="36"/>
  <c r="AO94" i="36"/>
  <c r="AO95" i="36"/>
  <c r="AO96" i="36"/>
  <c r="AO97" i="36"/>
  <c r="AO93" i="36"/>
  <c r="AO82" i="36"/>
  <c r="AO83" i="36"/>
  <c r="AO84" i="36"/>
  <c r="AO81" i="36"/>
  <c r="AO72" i="36"/>
  <c r="AO73" i="36"/>
  <c r="AO74" i="36"/>
  <c r="AO76" i="36"/>
  <c r="AO77" i="36"/>
  <c r="AO71" i="36"/>
  <c r="AO57" i="36"/>
  <c r="AO58" i="36"/>
  <c r="AO60" i="36"/>
  <c r="AO61" i="36"/>
  <c r="AO62" i="36"/>
  <c r="AO63" i="36"/>
  <c r="AO64" i="36"/>
  <c r="AO65" i="36"/>
  <c r="AO66" i="36"/>
  <c r="AO56" i="36"/>
  <c r="AO52" i="36"/>
  <c r="AO40" i="36"/>
  <c r="AO39" i="36"/>
  <c r="AO26" i="36"/>
  <c r="AO27" i="36"/>
  <c r="AO28" i="36"/>
  <c r="AO29" i="36"/>
  <c r="AO30" i="36"/>
  <c r="AO25" i="36"/>
  <c r="AO22" i="36"/>
  <c r="AO21" i="36"/>
  <c r="AN94" i="36"/>
  <c r="AN95" i="36"/>
  <c r="AN96" i="36"/>
  <c r="AN97" i="36"/>
  <c r="AN82" i="36"/>
  <c r="AN83" i="36"/>
  <c r="AN84" i="36"/>
  <c r="AN72" i="36"/>
  <c r="AN73" i="36"/>
  <c r="AN74" i="36"/>
  <c r="AN76" i="36"/>
  <c r="AN77" i="36"/>
  <c r="AN62" i="36"/>
  <c r="AN63" i="36"/>
  <c r="AN64" i="36"/>
  <c r="AN65" i="36"/>
  <c r="AN66" i="36"/>
  <c r="AN60" i="36"/>
  <c r="AN57" i="36"/>
  <c r="AN58" i="36"/>
  <c r="AN40" i="36"/>
  <c r="AN26" i="36"/>
  <c r="AN27" i="36"/>
  <c r="AN28" i="36"/>
  <c r="AN29" i="36"/>
  <c r="AN30" i="36"/>
  <c r="AN14" i="36"/>
  <c r="AO14" i="36"/>
  <c r="AP14" i="36"/>
  <c r="AQ14" i="36"/>
  <c r="AN15" i="36"/>
  <c r="AO15" i="36"/>
  <c r="AP15" i="36"/>
  <c r="AQ15" i="36"/>
  <c r="AM94" i="36"/>
  <c r="AM95" i="36"/>
  <c r="AM96" i="36"/>
  <c r="AM97" i="36"/>
  <c r="AM93" i="36"/>
  <c r="AM82" i="36"/>
  <c r="AM83" i="36"/>
  <c r="AM84" i="36"/>
  <c r="AM81" i="36"/>
  <c r="AM72" i="36"/>
  <c r="AM73" i="36"/>
  <c r="AM74" i="36"/>
  <c r="AM76" i="36"/>
  <c r="AM77" i="36"/>
  <c r="AM71" i="36"/>
  <c r="AM57" i="36"/>
  <c r="AM58" i="36"/>
  <c r="AM60" i="36"/>
  <c r="AM61" i="36"/>
  <c r="AM62" i="36"/>
  <c r="AM63" i="36"/>
  <c r="AM64" i="36"/>
  <c r="AM65" i="36"/>
  <c r="AM66" i="36"/>
  <c r="AM56" i="36"/>
  <c r="AM52" i="36"/>
  <c r="AM40" i="36"/>
  <c r="AM39" i="36"/>
  <c r="AM26" i="36"/>
  <c r="AM27" i="36"/>
  <c r="AM28" i="36"/>
  <c r="AM29" i="36"/>
  <c r="AM30" i="36"/>
  <c r="AM25" i="36"/>
  <c r="AM22" i="36"/>
  <c r="AM21" i="36"/>
  <c r="AM14" i="36"/>
  <c r="AM15" i="36"/>
  <c r="AL94" i="36"/>
  <c r="AL95" i="36"/>
  <c r="AL96" i="36"/>
  <c r="AL97" i="36"/>
  <c r="AL82" i="36"/>
  <c r="AL83" i="36"/>
  <c r="AL84" i="36"/>
  <c r="AL62" i="36"/>
  <c r="AL63" i="36"/>
  <c r="AL64" i="36"/>
  <c r="AL65" i="36"/>
  <c r="AL66" i="36"/>
  <c r="AL60" i="36"/>
  <c r="AL57" i="36"/>
  <c r="AL58" i="36"/>
  <c r="AL40" i="36"/>
  <c r="AL26" i="36"/>
  <c r="AL27" i="36"/>
  <c r="AL28" i="36"/>
  <c r="AL29" i="36"/>
  <c r="AL30" i="36"/>
  <c r="AS7" i="36"/>
  <c r="AT7" i="36"/>
  <c r="AU7" i="36"/>
  <c r="AR7" i="36"/>
  <c r="AL8" i="36"/>
  <c r="AQ10" i="36"/>
  <c r="AH101" i="36"/>
  <c r="AH97" i="36"/>
  <c r="AH96" i="36"/>
  <c r="AH100" i="36"/>
  <c r="AH95" i="36"/>
  <c r="AH84" i="36"/>
  <c r="AH87" i="36"/>
  <c r="AH83" i="36"/>
  <c r="AH72" i="36"/>
  <c r="AH73" i="36"/>
  <c r="AH74" i="36"/>
  <c r="AH76" i="36"/>
  <c r="AH77" i="36"/>
  <c r="AH71" i="36"/>
  <c r="AH64" i="36"/>
  <c r="AH60" i="36"/>
  <c r="AH57" i="36"/>
  <c r="AH58" i="36"/>
  <c r="AH61" i="36"/>
  <c r="AH62" i="36"/>
  <c r="AH63" i="36"/>
  <c r="AH56" i="36"/>
  <c r="AH49" i="36"/>
  <c r="AH50" i="36"/>
  <c r="AH51" i="36"/>
  <c r="AH52" i="36"/>
  <c r="AH53" i="36"/>
  <c r="AH48" i="36"/>
  <c r="AH40" i="36"/>
  <c r="AH39" i="36"/>
  <c r="AH22" i="36"/>
  <c r="AH23" i="36"/>
  <c r="AH24" i="36"/>
  <c r="AH25" i="36"/>
  <c r="AH26" i="36"/>
  <c r="AH21" i="36"/>
  <c r="L4" i="27"/>
  <c r="AG11" i="36"/>
  <c r="AG101" i="36"/>
  <c r="AG96" i="36"/>
  <c r="AG97" i="36"/>
  <c r="AG100" i="36"/>
  <c r="AG95" i="36"/>
  <c r="AG84" i="36"/>
  <c r="AG87" i="36"/>
  <c r="AG83" i="36"/>
  <c r="AG71" i="36"/>
  <c r="AG64" i="36"/>
  <c r="AG63" i="36"/>
  <c r="AG61" i="36"/>
  <c r="AG57" i="36"/>
  <c r="AG58" i="36"/>
  <c r="AG60" i="36"/>
  <c r="AG62" i="36"/>
  <c r="AG56" i="36"/>
  <c r="AG49" i="36"/>
  <c r="AG50" i="36"/>
  <c r="AG51" i="36"/>
  <c r="AG52" i="36"/>
  <c r="AG53" i="36"/>
  <c r="AF56" i="36"/>
  <c r="AF49" i="36"/>
  <c r="AF50" i="36"/>
  <c r="AF51" i="36"/>
  <c r="AF52" i="36"/>
  <c r="AF53" i="36"/>
  <c r="AF39" i="36"/>
  <c r="AF40" i="36"/>
  <c r="AG22" i="36"/>
  <c r="AG23" i="36"/>
  <c r="AG24" i="36"/>
  <c r="AG25" i="36"/>
  <c r="AG26" i="36"/>
  <c r="AG21" i="36"/>
  <c r="AF101" i="36"/>
  <c r="AF100" i="36"/>
  <c r="AF96" i="36"/>
  <c r="AF97" i="36"/>
  <c r="AF95" i="36"/>
  <c r="AF87" i="36"/>
  <c r="AF84" i="36"/>
  <c r="AF83" i="36"/>
  <c r="AF72" i="36"/>
  <c r="AF77" i="36"/>
  <c r="AF76" i="36"/>
  <c r="AF73" i="36"/>
  <c r="AF74" i="36"/>
  <c r="AF71" i="36"/>
  <c r="AF48" i="36"/>
  <c r="AF26" i="36"/>
  <c r="AF25" i="36"/>
  <c r="AF21" i="36"/>
  <c r="AF22" i="36"/>
  <c r="AF23" i="36"/>
  <c r="AF24" i="36"/>
  <c r="I4" i="20"/>
  <c r="L4" i="20"/>
  <c r="L5" i="20"/>
  <c r="Y11" i="36"/>
  <c r="AE96" i="36"/>
  <c r="AE97" i="36"/>
  <c r="AE100" i="36"/>
  <c r="AE84" i="36"/>
  <c r="AE87" i="36"/>
  <c r="AE83" i="36"/>
  <c r="AE72" i="36"/>
  <c r="AE73" i="36"/>
  <c r="AE74" i="36"/>
  <c r="AE76" i="36"/>
  <c r="AE77" i="36"/>
  <c r="AE71" i="36"/>
  <c r="AE57" i="36"/>
  <c r="AE58" i="36"/>
  <c r="AE60" i="36"/>
  <c r="AE61" i="36"/>
  <c r="AE62" i="36"/>
  <c r="AE63" i="36"/>
  <c r="AE64" i="36"/>
  <c r="AE56" i="36"/>
  <c r="AE49" i="36"/>
  <c r="AE50" i="36"/>
  <c r="AE51" i="36"/>
  <c r="AE52" i="36"/>
  <c r="AE53" i="36"/>
  <c r="AE48" i="36"/>
  <c r="AE40" i="36"/>
  <c r="AE39" i="36"/>
  <c r="AE22" i="36"/>
  <c r="AE23" i="36"/>
  <c r="AE24" i="36"/>
  <c r="AE25" i="36"/>
  <c r="AE26" i="36"/>
  <c r="AE21" i="36"/>
  <c r="AD101" i="36"/>
  <c r="AD96" i="36"/>
  <c r="AD97" i="36"/>
  <c r="AD100" i="36"/>
  <c r="AD95" i="36"/>
  <c r="AD87" i="36"/>
  <c r="AD84" i="36"/>
  <c r="AD83" i="36"/>
  <c r="AD72" i="36"/>
  <c r="AD73" i="36"/>
  <c r="AD74" i="36"/>
  <c r="AD76" i="36"/>
  <c r="AD77" i="36"/>
  <c r="AD71" i="36"/>
  <c r="AD57" i="36"/>
  <c r="AD58" i="36"/>
  <c r="AD60" i="36"/>
  <c r="AD61" i="36"/>
  <c r="AD62" i="36"/>
  <c r="AD63" i="36"/>
  <c r="AD64" i="36"/>
  <c r="AD56" i="36"/>
  <c r="AD49" i="36"/>
  <c r="AD50" i="36"/>
  <c r="AD51" i="36"/>
  <c r="AD52" i="36"/>
  <c r="AD53" i="36"/>
  <c r="AD48" i="36"/>
  <c r="AD40" i="36"/>
  <c r="AD39" i="36"/>
  <c r="AD22" i="36"/>
  <c r="AD23" i="36"/>
  <c r="AD24" i="36"/>
  <c r="AD25" i="36"/>
  <c r="AD26" i="36"/>
  <c r="AD21" i="36"/>
  <c r="AC101" i="36"/>
  <c r="AC96" i="36"/>
  <c r="AC97" i="36"/>
  <c r="AC100" i="36"/>
  <c r="AC95" i="36"/>
  <c r="AC84" i="36"/>
  <c r="AC87" i="36"/>
  <c r="AC83" i="36"/>
  <c r="AC73" i="36"/>
  <c r="AC74" i="36"/>
  <c r="AC76" i="36"/>
  <c r="AC77" i="36"/>
  <c r="AC72" i="36"/>
  <c r="AC71" i="36"/>
  <c r="AC60" i="36"/>
  <c r="AC61" i="36"/>
  <c r="AC62" i="36"/>
  <c r="AC63" i="36"/>
  <c r="AC64" i="36"/>
  <c r="AC57" i="36"/>
  <c r="AC58" i="36"/>
  <c r="AC56" i="36"/>
  <c r="AC49" i="36"/>
  <c r="AC50" i="36"/>
  <c r="AC51" i="36"/>
  <c r="AC52" i="36"/>
  <c r="AC53" i="36"/>
  <c r="AC48" i="36"/>
  <c r="AC40" i="36"/>
  <c r="AC39" i="36"/>
  <c r="AC23" i="36"/>
  <c r="AC24" i="36"/>
  <c r="AC25" i="36"/>
  <c r="AC26" i="36"/>
  <c r="AC22" i="36"/>
  <c r="AC21" i="36"/>
  <c r="AB96" i="36"/>
  <c r="AB97" i="36"/>
  <c r="AB100" i="36"/>
  <c r="AB84" i="36"/>
  <c r="AB77" i="36"/>
  <c r="AB76" i="36"/>
  <c r="AB72" i="36"/>
  <c r="AB73" i="36"/>
  <c r="AB74" i="36"/>
  <c r="AB61" i="36"/>
  <c r="AB62" i="36"/>
  <c r="AB63" i="36"/>
  <c r="AB64" i="36"/>
  <c r="AB60" i="36"/>
  <c r="AB58" i="36"/>
  <c r="AB57" i="36"/>
  <c r="AB49" i="36"/>
  <c r="AB50" i="36"/>
  <c r="AB51" i="36"/>
  <c r="AB52" i="36"/>
  <c r="AB53" i="36"/>
  <c r="AB21" i="36"/>
  <c r="AB22" i="36"/>
  <c r="AB23" i="36"/>
  <c r="AB24" i="36"/>
  <c r="AB25" i="36"/>
  <c r="AB26" i="36"/>
  <c r="AA101" i="36"/>
  <c r="AA100" i="36"/>
  <c r="AA96" i="36"/>
  <c r="AA97" i="36"/>
  <c r="AA95" i="36"/>
  <c r="AA87" i="36"/>
  <c r="AA84" i="36"/>
  <c r="AA83" i="36"/>
  <c r="AA77" i="36"/>
  <c r="AA76" i="36"/>
  <c r="AA73" i="36"/>
  <c r="AA74" i="36"/>
  <c r="AA71" i="36"/>
  <c r="AA72" i="36"/>
  <c r="AA57" i="36"/>
  <c r="AA58" i="36"/>
  <c r="AA60" i="36"/>
  <c r="AA61" i="36"/>
  <c r="AA62" i="36"/>
  <c r="AA63" i="36"/>
  <c r="AA64" i="36"/>
  <c r="AA56" i="36"/>
  <c r="AA49" i="36"/>
  <c r="AA50" i="36"/>
  <c r="AA51" i="36"/>
  <c r="AA52" i="36"/>
  <c r="AA53" i="36"/>
  <c r="AA48" i="36"/>
  <c r="AA40" i="36"/>
  <c r="AA39" i="36"/>
  <c r="AA26" i="36"/>
  <c r="AA24" i="36"/>
  <c r="AA25" i="36"/>
  <c r="AA23" i="36"/>
  <c r="AA22" i="36"/>
  <c r="AA21" i="36"/>
  <c r="Z77" i="36"/>
  <c r="Z76" i="36"/>
  <c r="Z71" i="36"/>
  <c r="Z72" i="36"/>
  <c r="Z60" i="36"/>
  <c r="Z61" i="36"/>
  <c r="Z62" i="36"/>
  <c r="Z63" i="36"/>
  <c r="Z64" i="36"/>
  <c r="Z57" i="36"/>
  <c r="Z58" i="36"/>
  <c r="Z49" i="36"/>
  <c r="Z50" i="36"/>
  <c r="Z51" i="36"/>
  <c r="Z52" i="36"/>
  <c r="Z53" i="36"/>
  <c r="Z40" i="36"/>
  <c r="Z22" i="36"/>
  <c r="Z23" i="36"/>
  <c r="Z24" i="36"/>
  <c r="Z25" i="36"/>
  <c r="Z26" i="36"/>
  <c r="Z21" i="36"/>
  <c r="Y21" i="36"/>
  <c r="Y60" i="36"/>
  <c r="Y61" i="36"/>
  <c r="AE6" i="36"/>
  <c r="Z6" i="36"/>
  <c r="AA6" i="36"/>
  <c r="AB6" i="36"/>
  <c r="AC6" i="36"/>
  <c r="AD6" i="36"/>
  <c r="AF6" i="36"/>
  <c r="AG6" i="36"/>
  <c r="AH6" i="36"/>
  <c r="AI6" i="36"/>
  <c r="AB56" i="36"/>
  <c r="Z9" i="36"/>
  <c r="AA9" i="36"/>
  <c r="AB9" i="36"/>
  <c r="AC9" i="36"/>
  <c r="AD9" i="36"/>
  <c r="AE9" i="36"/>
  <c r="AF9" i="36"/>
  <c r="AG9" i="36"/>
  <c r="AH9" i="36"/>
  <c r="AI9" i="36"/>
  <c r="AK6" i="36"/>
  <c r="Y6" i="36"/>
  <c r="Y9" i="36"/>
  <c r="AG7" i="36"/>
  <c r="Z7" i="36"/>
  <c r="AA7" i="36"/>
  <c r="AB7" i="36"/>
  <c r="AC7" i="36"/>
  <c r="AD7" i="36"/>
  <c r="AE7" i="36"/>
  <c r="AF7" i="36"/>
  <c r="AH7" i="36"/>
  <c r="AI7" i="36"/>
  <c r="AX6" i="36"/>
  <c r="AY6" i="36"/>
  <c r="AZ6" i="36"/>
  <c r="BA6" i="36"/>
  <c r="BB6" i="36"/>
  <c r="BC6" i="36"/>
  <c r="BD6" i="36"/>
  <c r="BF6" i="36"/>
  <c r="BG6" i="36"/>
  <c r="AL9" i="36"/>
  <c r="AM9" i="36"/>
  <c r="AN9" i="36"/>
  <c r="AO9" i="36"/>
  <c r="AP9" i="36"/>
  <c r="AQ9" i="36"/>
  <c r="AR9" i="36"/>
  <c r="AS9" i="36"/>
  <c r="AT9" i="36"/>
  <c r="AU9" i="36"/>
  <c r="AK10" i="36"/>
  <c r="AK9" i="36"/>
  <c r="AO10" i="36"/>
  <c r="AL10" i="36"/>
  <c r="AM10" i="36"/>
  <c r="AU10" i="36"/>
  <c r="AU6" i="36"/>
  <c r="AT6" i="36"/>
  <c r="AR6" i="36"/>
  <c r="AQ6" i="36"/>
  <c r="AP6" i="36"/>
  <c r="AO6" i="36"/>
  <c r="AN6" i="36"/>
  <c r="AM6" i="36"/>
  <c r="AL6" i="36"/>
  <c r="I26" i="31"/>
  <c r="I26" i="30"/>
  <c r="I26" i="26"/>
  <c r="AI11" i="36"/>
  <c r="T49" i="36"/>
  <c r="T50" i="36"/>
  <c r="T51" i="36"/>
  <c r="T52" i="36"/>
  <c r="T53" i="36"/>
  <c r="T48" i="36"/>
  <c r="W49" i="36"/>
  <c r="W50" i="36"/>
  <c r="W51" i="36"/>
  <c r="W52" i="36"/>
  <c r="W53" i="36"/>
  <c r="W48" i="36"/>
  <c r="V92" i="36"/>
  <c r="V80" i="36"/>
  <c r="V72" i="36"/>
  <c r="V71" i="36"/>
  <c r="V57" i="36"/>
  <c r="V58" i="36"/>
  <c r="V56" i="36"/>
  <c r="V49" i="36"/>
  <c r="V50" i="36"/>
  <c r="V51" i="36"/>
  <c r="V52" i="36"/>
  <c r="V53" i="36"/>
  <c r="V48" i="36"/>
  <c r="V40" i="36"/>
  <c r="V39" i="36"/>
  <c r="V19" i="36"/>
  <c r="V20" i="36"/>
  <c r="V21" i="36"/>
  <c r="V22" i="36"/>
  <c r="V18" i="36"/>
  <c r="V15" i="36"/>
  <c r="V14" i="36"/>
  <c r="V13" i="36"/>
  <c r="W11" i="36"/>
  <c r="V11" i="36"/>
  <c r="U11" i="36"/>
  <c r="W6" i="36"/>
  <c r="V6" i="36"/>
  <c r="T11" i="36"/>
  <c r="T6" i="36"/>
  <c r="S101" i="36"/>
  <c r="S100" i="36"/>
  <c r="S87" i="36"/>
  <c r="S92" i="36"/>
  <c r="S80" i="36"/>
  <c r="S72" i="36"/>
  <c r="S73" i="36"/>
  <c r="S74" i="36"/>
  <c r="S71" i="36"/>
  <c r="S57" i="36"/>
  <c r="S58" i="36"/>
  <c r="S56" i="36"/>
  <c r="S49" i="36"/>
  <c r="S50" i="36"/>
  <c r="S51" i="36"/>
  <c r="S52" i="36"/>
  <c r="S53" i="36"/>
  <c r="S48" i="36"/>
  <c r="S45" i="36"/>
  <c r="S43" i="36"/>
  <c r="S40" i="36"/>
  <c r="S41" i="36"/>
  <c r="S39" i="36"/>
  <c r="S19" i="36"/>
  <c r="S20" i="36"/>
  <c r="S21" i="36"/>
  <c r="S22" i="36"/>
  <c r="S18" i="36"/>
  <c r="S14" i="36"/>
  <c r="S15" i="36"/>
  <c r="S13" i="36"/>
  <c r="S11" i="36"/>
  <c r="S6" i="36"/>
  <c r="R92" i="36"/>
  <c r="R87" i="36"/>
  <c r="R11" i="36"/>
  <c r="R80" i="36"/>
  <c r="R72" i="36"/>
  <c r="R73" i="36"/>
  <c r="R74" i="36"/>
  <c r="R75" i="36"/>
  <c r="R71" i="36"/>
  <c r="R57" i="36"/>
  <c r="R58" i="36"/>
  <c r="R60" i="36"/>
  <c r="R56" i="36"/>
  <c r="R49" i="36"/>
  <c r="R50" i="36"/>
  <c r="R51" i="36"/>
  <c r="R52" i="36"/>
  <c r="R53" i="36"/>
  <c r="R48" i="36"/>
  <c r="R45" i="36"/>
  <c r="R44" i="36"/>
  <c r="R43" i="36"/>
  <c r="R41" i="36"/>
  <c r="R40" i="36"/>
  <c r="R39" i="36"/>
  <c r="R19" i="36"/>
  <c r="R20" i="36"/>
  <c r="R21" i="36"/>
  <c r="R22" i="36"/>
  <c r="R18" i="36"/>
  <c r="R8" i="36"/>
  <c r="R6" i="36"/>
  <c r="Q101" i="36"/>
  <c r="Q100" i="36"/>
  <c r="Q92" i="36"/>
  <c r="P87" i="36"/>
  <c r="Q80" i="36"/>
  <c r="Q73" i="36"/>
  <c r="Q74" i="36"/>
  <c r="Q75" i="36"/>
  <c r="Q71" i="36"/>
  <c r="Q59" i="36"/>
  <c r="Q60" i="36"/>
  <c r="Q57" i="36"/>
  <c r="Q58" i="36"/>
  <c r="Q56" i="36"/>
  <c r="Q49" i="36"/>
  <c r="Q50" i="36"/>
  <c r="Q51" i="36"/>
  <c r="Q52" i="36"/>
  <c r="Q53" i="36"/>
  <c r="Q48" i="36"/>
  <c r="Q45" i="36"/>
  <c r="Q44" i="36"/>
  <c r="Q43" i="36"/>
  <c r="Q41" i="36"/>
  <c r="Q39" i="36"/>
  <c r="Q19" i="36"/>
  <c r="Q20" i="36"/>
  <c r="Q21" i="36"/>
  <c r="Q18" i="36"/>
  <c r="Q14" i="36"/>
  <c r="Q15" i="36"/>
  <c r="Q13" i="36"/>
  <c r="Q11" i="36"/>
  <c r="Q6" i="36"/>
  <c r="P92" i="36"/>
  <c r="P80" i="36"/>
  <c r="P75" i="36"/>
  <c r="P74" i="36"/>
  <c r="P72" i="36"/>
  <c r="P73" i="36"/>
  <c r="P71" i="36"/>
  <c r="P57" i="36"/>
  <c r="P58" i="36"/>
  <c r="P59" i="36"/>
  <c r="P60" i="36"/>
  <c r="P56" i="36"/>
  <c r="P49" i="36"/>
  <c r="P50" i="36"/>
  <c r="P51" i="36"/>
  <c r="P52" i="36"/>
  <c r="P53" i="36"/>
  <c r="P48" i="36"/>
  <c r="P45" i="36"/>
  <c r="P44" i="36"/>
  <c r="P43" i="36"/>
  <c r="P40" i="36"/>
  <c r="P41" i="36"/>
  <c r="P39" i="36"/>
  <c r="P19" i="36"/>
  <c r="P20" i="36"/>
  <c r="P21" i="36"/>
  <c r="P22" i="36"/>
  <c r="P18" i="36"/>
  <c r="P13" i="36"/>
  <c r="P11" i="36"/>
  <c r="P6" i="36"/>
  <c r="E37" i="22"/>
  <c r="E101" i="36"/>
  <c r="E91" i="36"/>
  <c r="E90" i="36"/>
  <c r="E72" i="36"/>
  <c r="E71" i="36"/>
  <c r="E57" i="36"/>
  <c r="E58" i="36"/>
  <c r="E56" i="36"/>
  <c r="E53" i="36"/>
  <c r="E49" i="36"/>
  <c r="E50" i="36"/>
  <c r="E51" i="36"/>
  <c r="E52" i="36"/>
  <c r="E48" i="36"/>
  <c r="E45" i="36"/>
  <c r="E44" i="36"/>
  <c r="E43" i="36"/>
  <c r="E40" i="36"/>
  <c r="E41" i="36"/>
  <c r="E39" i="36"/>
  <c r="E22" i="36"/>
  <c r="E21" i="36"/>
  <c r="C37" i="22"/>
  <c r="E11" i="36"/>
  <c r="C9" i="22"/>
  <c r="C9" i="31"/>
  <c r="E7" i="36"/>
  <c r="E6" i="36"/>
  <c r="O60" i="36"/>
  <c r="O53" i="36"/>
  <c r="O11" i="36"/>
  <c r="O6" i="36"/>
  <c r="N87" i="36"/>
  <c r="N80" i="36"/>
  <c r="N45" i="36"/>
  <c r="D101" i="36"/>
  <c r="D91" i="36"/>
  <c r="D90" i="36"/>
  <c r="C11" i="36"/>
  <c r="C101" i="36"/>
  <c r="C91" i="36"/>
  <c r="D72" i="36"/>
  <c r="D71" i="36"/>
  <c r="C58" i="36"/>
  <c r="C57" i="36"/>
  <c r="C56" i="36"/>
  <c r="D57" i="36"/>
  <c r="D58" i="36"/>
  <c r="D56" i="36"/>
  <c r="D49" i="36"/>
  <c r="D50" i="36"/>
  <c r="D51" i="36"/>
  <c r="D52" i="36"/>
  <c r="D53" i="36"/>
  <c r="D48" i="36"/>
  <c r="D45" i="36"/>
  <c r="D44" i="36"/>
  <c r="D43" i="36"/>
  <c r="D40" i="36"/>
  <c r="D41" i="36"/>
  <c r="D39" i="36"/>
  <c r="D22" i="36"/>
  <c r="D21" i="36"/>
  <c r="D11" i="36"/>
  <c r="D9" i="36"/>
  <c r="D7" i="36"/>
  <c r="D6" i="36"/>
  <c r="Q35" i="32"/>
  <c r="N35" i="32"/>
  <c r="I26" i="22"/>
  <c r="I26" i="25"/>
  <c r="I26" i="29"/>
  <c r="G9" i="28"/>
  <c r="I26" i="23"/>
  <c r="I26" i="24"/>
  <c r="G9" i="22"/>
  <c r="G9" i="24"/>
  <c r="G9" i="27"/>
  <c r="AW6" i="36"/>
  <c r="N6" i="36"/>
  <c r="C6" i="36"/>
  <c r="C9" i="36"/>
  <c r="AW72" i="36"/>
  <c r="AW53" i="36"/>
  <c r="AW32" i="36"/>
  <c r="AW33" i="36"/>
  <c r="AW34" i="36"/>
  <c r="AW35" i="36"/>
  <c r="AW22" i="36"/>
  <c r="N53" i="36"/>
  <c r="C53" i="36"/>
  <c r="N60" i="36"/>
  <c r="C90" i="36"/>
  <c r="C48" i="36"/>
  <c r="K37" i="20"/>
  <c r="L37" i="20"/>
  <c r="L36" i="20"/>
  <c r="J37" i="20"/>
  <c r="J36" i="20"/>
  <c r="H37" i="20"/>
  <c r="H36" i="20"/>
  <c r="D37" i="20"/>
  <c r="D36" i="20"/>
  <c r="F37" i="20"/>
  <c r="F36" i="20"/>
  <c r="M37" i="20"/>
  <c r="O37" i="20"/>
  <c r="I37" i="20"/>
  <c r="G37" i="20"/>
  <c r="E37" i="20"/>
  <c r="C37" i="20"/>
  <c r="K48" i="20"/>
  <c r="AK52" i="36"/>
  <c r="M26" i="20"/>
  <c r="K26" i="20"/>
  <c r="C7" i="36"/>
  <c r="AW31" i="36"/>
  <c r="AZ9" i="36"/>
  <c r="L4" i="24"/>
  <c r="BE97" i="36"/>
  <c r="BE83" i="36"/>
  <c r="BE71" i="36"/>
  <c r="BE67" i="36"/>
  <c r="BE56" i="36"/>
  <c r="BE48" i="36"/>
  <c r="BE39" i="36"/>
  <c r="BE31" i="36"/>
  <c r="BE21" i="36"/>
  <c r="BC97" i="36"/>
  <c r="BB97" i="36"/>
  <c r="AZ97" i="36"/>
  <c r="AZ83" i="36"/>
  <c r="AZ71" i="36"/>
  <c r="AZ67" i="36"/>
  <c r="AZ56" i="36"/>
  <c r="AZ39" i="36"/>
  <c r="AZ31" i="36"/>
  <c r="AZ21" i="36"/>
  <c r="AX97" i="36"/>
  <c r="AX83" i="36"/>
  <c r="AX71" i="36"/>
  <c r="AX67" i="36"/>
  <c r="AX56" i="36"/>
  <c r="AX48" i="36"/>
  <c r="AX39" i="36"/>
  <c r="AX31" i="36"/>
  <c r="AX21" i="36"/>
  <c r="AW48" i="36"/>
  <c r="AW49" i="36"/>
  <c r="AW50" i="36"/>
  <c r="AW51" i="36"/>
  <c r="AW52" i="36"/>
  <c r="AU66" i="36"/>
  <c r="AU65" i="36"/>
  <c r="AU61" i="36"/>
  <c r="AU52" i="36"/>
  <c r="AS52" i="36"/>
  <c r="AQ13" i="36"/>
  <c r="AP13" i="36"/>
  <c r="AO13" i="36"/>
  <c r="AN93" i="36"/>
  <c r="AN81" i="36"/>
  <c r="AN71" i="36"/>
  <c r="AN61" i="36"/>
  <c r="AN56" i="36"/>
  <c r="AN39" i="36"/>
  <c r="AN25" i="36"/>
  <c r="AN22" i="36"/>
  <c r="AN21" i="36"/>
  <c r="AN13" i="36"/>
  <c r="AL93" i="36"/>
  <c r="AL81" i="36"/>
  <c r="AL77" i="36"/>
  <c r="AL76" i="36"/>
  <c r="AL74" i="36"/>
  <c r="AL73" i="36"/>
  <c r="AL72" i="36"/>
  <c r="AL71" i="36"/>
  <c r="AL61" i="36"/>
  <c r="AL56" i="36"/>
  <c r="AL52" i="36"/>
  <c r="AL39" i="36"/>
  <c r="AL25" i="36"/>
  <c r="AL22" i="36"/>
  <c r="AL21" i="36"/>
  <c r="AL15" i="36"/>
  <c r="AL14" i="36"/>
  <c r="AL13" i="36"/>
  <c r="S7" i="36"/>
  <c r="T7" i="36"/>
  <c r="V7" i="36"/>
  <c r="W7" i="36"/>
  <c r="N7" i="36"/>
  <c r="O7" i="36"/>
  <c r="P7" i="36"/>
  <c r="Q7" i="36"/>
  <c r="R7" i="36"/>
  <c r="AK7" i="36"/>
  <c r="AL7" i="36"/>
  <c r="AM7" i="36"/>
  <c r="AN7" i="36"/>
  <c r="AO7" i="36"/>
  <c r="AP7" i="36"/>
  <c r="AQ7" i="36"/>
  <c r="AX7" i="36"/>
  <c r="AY7" i="36"/>
  <c r="BA7" i="36"/>
  <c r="BB7" i="36"/>
  <c r="BC7" i="36"/>
  <c r="T9" i="36"/>
  <c r="BG9" i="36"/>
  <c r="N9" i="36"/>
  <c r="O9" i="36"/>
  <c r="P9" i="36"/>
  <c r="Q9" i="36"/>
  <c r="R9" i="36"/>
  <c r="S9" i="36"/>
  <c r="V9" i="36"/>
  <c r="W10" i="36"/>
  <c r="W9" i="36"/>
  <c r="AX9" i="36"/>
  <c r="AY9" i="36"/>
  <c r="BA9" i="36"/>
  <c r="BB9" i="36"/>
  <c r="BC9" i="36"/>
  <c r="BD9" i="36"/>
  <c r="BE9" i="36"/>
  <c r="O13" i="36"/>
  <c r="O43" i="36"/>
  <c r="O44" i="36"/>
  <c r="O48" i="36"/>
  <c r="O49" i="36"/>
  <c r="O50" i="36"/>
  <c r="O51" i="36"/>
  <c r="O72" i="36"/>
  <c r="O75" i="36"/>
  <c r="O73" i="36"/>
  <c r="O71" i="36"/>
  <c r="O57" i="36"/>
  <c r="O19" i="36"/>
  <c r="O74" i="36"/>
  <c r="AZ7" i="36"/>
  <c r="O101" i="36"/>
  <c r="O14" i="36"/>
  <c r="O15" i="36"/>
  <c r="O45" i="36"/>
  <c r="O41" i="36"/>
  <c r="O20" i="36"/>
  <c r="O100" i="36"/>
  <c r="O92" i="36"/>
  <c r="O80" i="36"/>
  <c r="O59" i="36"/>
  <c r="O58" i="36"/>
  <c r="O56" i="36"/>
  <c r="O21" i="36"/>
  <c r="O40" i="36"/>
  <c r="O52" i="36"/>
  <c r="O39" i="36"/>
  <c r="O22" i="36"/>
  <c r="O18" i="36"/>
  <c r="BF9" i="36"/>
  <c r="P101" i="36"/>
  <c r="P14" i="36"/>
  <c r="P100" i="36"/>
  <c r="P15" i="36"/>
  <c r="AM13" i="36"/>
  <c r="AW101" i="36"/>
  <c r="AW97" i="36"/>
  <c r="AW86" i="36"/>
  <c r="AW85" i="36"/>
  <c r="AW83" i="36"/>
  <c r="AW74" i="36"/>
  <c r="AW73" i="36"/>
  <c r="AW71" i="36"/>
  <c r="AW67" i="36"/>
  <c r="AW57" i="36"/>
  <c r="AW56" i="36"/>
  <c r="AW40" i="36"/>
  <c r="AW39" i="36"/>
  <c r="AW21" i="36"/>
  <c r="AK72" i="36"/>
  <c r="AK61" i="36"/>
  <c r="AK56" i="36"/>
  <c r="AK26" i="36"/>
  <c r="AK21" i="36"/>
  <c r="N101" i="36"/>
  <c r="N100" i="36"/>
  <c r="N75" i="36"/>
  <c r="N73" i="36"/>
  <c r="N72" i="36"/>
  <c r="N71" i="36"/>
  <c r="N59" i="36"/>
  <c r="N58" i="36"/>
  <c r="N57" i="36"/>
  <c r="N56" i="36"/>
  <c r="N40" i="36"/>
  <c r="N39" i="36"/>
  <c r="N22" i="36"/>
  <c r="N21" i="36"/>
  <c r="N20" i="36"/>
  <c r="N19" i="36"/>
  <c r="T19" i="32"/>
  <c r="N18" i="36"/>
  <c r="N15" i="36"/>
  <c r="N14" i="36"/>
  <c r="N13" i="36"/>
  <c r="N15" i="32"/>
  <c r="AW58" i="36"/>
  <c r="N44" i="36"/>
  <c r="C44" i="36"/>
  <c r="N43" i="36"/>
  <c r="C43" i="36"/>
  <c r="N74" i="36"/>
  <c r="AK30" i="36"/>
  <c r="G31" i="32"/>
  <c r="U31" i="32"/>
  <c r="AK29" i="36"/>
  <c r="G27" i="32"/>
  <c r="U27" i="32"/>
  <c r="AK76" i="36"/>
  <c r="AK83" i="36"/>
  <c r="AK97" i="36"/>
  <c r="AK93" i="36"/>
  <c r="AK95" i="36"/>
  <c r="AK14" i="36"/>
  <c r="AK13" i="36"/>
  <c r="AK15" i="36"/>
  <c r="N23" i="32"/>
  <c r="F36" i="32"/>
  <c r="I9" i="20"/>
  <c r="V36" i="32"/>
  <c r="AA38" i="32"/>
  <c r="A34" i="32"/>
  <c r="A38" i="32"/>
  <c r="F40" i="32"/>
  <c r="L5" i="31"/>
  <c r="L4" i="31"/>
  <c r="L5" i="30"/>
  <c r="L4" i="30"/>
  <c r="L5" i="29"/>
  <c r="L4" i="29"/>
  <c r="G9" i="29"/>
  <c r="I26" i="28"/>
  <c r="AU28" i="36"/>
  <c r="N5" i="28"/>
  <c r="N4" i="28"/>
  <c r="R101" i="36"/>
  <c r="R100" i="36"/>
  <c r="R15" i="36"/>
  <c r="R14" i="36"/>
  <c r="R13" i="36"/>
  <c r="L5" i="26"/>
  <c r="L4" i="26"/>
  <c r="G9" i="26"/>
  <c r="L4" i="25"/>
  <c r="AE11" i="36"/>
  <c r="G9" i="25"/>
  <c r="AN52" i="36"/>
  <c r="AZ48" i="36"/>
  <c r="L5" i="24"/>
  <c r="L5" i="23"/>
  <c r="L4" i="23"/>
  <c r="G9" i="23"/>
  <c r="AC11" i="36"/>
  <c r="L4" i="22"/>
  <c r="AA11" i="36"/>
  <c r="N92" i="36"/>
  <c r="N52" i="36"/>
  <c r="N51" i="36"/>
  <c r="N50" i="36"/>
  <c r="N49" i="36"/>
  <c r="N48" i="36"/>
  <c r="AA34" i="32"/>
  <c r="G9" i="20"/>
  <c r="AK28" i="36"/>
  <c r="C22" i="36"/>
  <c r="C39" i="36"/>
  <c r="C40" i="36"/>
  <c r="C41" i="36"/>
  <c r="C49" i="36"/>
  <c r="C50" i="36"/>
  <c r="C51" i="36"/>
  <c r="C52" i="36"/>
  <c r="C71" i="36"/>
  <c r="C72" i="36"/>
  <c r="N11" i="32"/>
  <c r="G9" i="30"/>
  <c r="AD11" i="36"/>
  <c r="AH11" i="36"/>
  <c r="AB11" i="36"/>
  <c r="Z11" i="36"/>
  <c r="Z48" i="36"/>
  <c r="Y22" i="36"/>
  <c r="Z97" i="36"/>
  <c r="Y95" i="36"/>
  <c r="Y84" i="36"/>
  <c r="Y49" i="36"/>
  <c r="Y71" i="36"/>
  <c r="Y101" i="36"/>
  <c r="Y25" i="36"/>
  <c r="Y57" i="36"/>
  <c r="Y77" i="36"/>
  <c r="Y96" i="36"/>
  <c r="Y50" i="36"/>
  <c r="Y56" i="36"/>
  <c r="Y63" i="36"/>
  <c r="Y51" i="36"/>
  <c r="Y62" i="36"/>
  <c r="Z100" i="36"/>
  <c r="Y40" i="36"/>
  <c r="AE101" i="36"/>
  <c r="Y83" i="36"/>
  <c r="Z101" i="36"/>
  <c r="Y100" i="36"/>
  <c r="Z95" i="36"/>
  <c r="AE95" i="36"/>
  <c r="Y74" i="36"/>
  <c r="Y64" i="36"/>
  <c r="Y58" i="36"/>
  <c r="Y72" i="36"/>
  <c r="Y52" i="36"/>
  <c r="Y39" i="36"/>
  <c r="Y48" i="36"/>
  <c r="Y73" i="36"/>
  <c r="Y87" i="36"/>
  <c r="Y97" i="36"/>
  <c r="Y26" i="36"/>
  <c r="Y24" i="36"/>
  <c r="Y76" i="36"/>
  <c r="Y23" i="36"/>
  <c r="AW9" i="36"/>
  <c r="AW7" i="36"/>
  <c r="Y53" i="36"/>
  <c r="AK62" i="36"/>
  <c r="AK84" i="36"/>
  <c r="S23" i="32"/>
  <c r="AK27" i="36"/>
  <c r="N19" i="32"/>
  <c r="AK63" i="36"/>
  <c r="AK94" i="36"/>
  <c r="AK66" i="36"/>
  <c r="AK39" i="36"/>
  <c r="AK64" i="36"/>
  <c r="AK96" i="36"/>
  <c r="AK60" i="36"/>
  <c r="AK40" i="36"/>
  <c r="AK71" i="36"/>
  <c r="AK74" i="36"/>
  <c r="AK65" i="36"/>
  <c r="AK22" i="36"/>
  <c r="AK57" i="36"/>
  <c r="AK73" i="36"/>
  <c r="AK25" i="36"/>
  <c r="AK58" i="36"/>
  <c r="AK77" i="36"/>
  <c r="AG48" i="36"/>
  <c r="Z87" i="36"/>
  <c r="G9" i="31"/>
  <c r="AF11" i="36"/>
  <c r="Z84" i="36"/>
  <c r="Z39" i="36"/>
  <c r="AB83" i="36"/>
  <c r="AB39" i="36"/>
  <c r="AB71" i="36"/>
  <c r="AB48" i="36"/>
  <c r="AB95" i="36"/>
  <c r="AB87" i="36"/>
  <c r="AB40" i="36"/>
  <c r="Z83" i="36"/>
  <c r="Z56" i="36"/>
  <c r="Y7" i="36"/>
  <c r="C19" i="20"/>
  <c r="C21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Pernelle Nunez</author>
  </authors>
  <commentList>
    <comment ref="Y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Calculated Number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LinLin Wu</author>
    <author>Pernelle Nunez</author>
  </authors>
  <commentList>
    <comment ref="I57" authorId="0" shapeId="0" xr:uid="{6F6EC557-3B12-44C3-9DC4-2ABA0C18C44B}">
      <text>
        <r>
          <rPr>
            <b/>
            <sz val="9"/>
            <color indexed="81"/>
            <rFont val="Tahoma"/>
            <family val="2"/>
          </rPr>
          <t>LinLin Wu:</t>
        </r>
        <r>
          <rPr>
            <sz val="9"/>
            <color indexed="81"/>
            <rFont val="Tahoma"/>
            <family val="2"/>
          </rPr>
          <t xml:space="preserve">
2019 no reporting, 2015 data is used</t>
        </r>
      </text>
    </comment>
    <comment ref="I61" authorId="1" shapeId="0" xr:uid="{00000000-0006-0000-0500-000001000000}">
      <text>
        <r>
          <rPr>
            <sz val="9"/>
            <color indexed="81"/>
            <rFont val="Tahoma"/>
            <family val="2"/>
          </rPr>
          <t>2008-2013 PFC measurements at 27 PFPB sites</t>
        </r>
      </text>
    </comment>
    <comment ref="I62" authorId="1" shapeId="0" xr:uid="{00000000-0006-0000-0500-000002000000}">
      <text>
        <r>
          <rPr>
            <sz val="9"/>
            <color indexed="81"/>
            <rFont val="Tahoma"/>
            <family val="2"/>
          </rPr>
          <t>2008-2013 PFC measurements at 27 PFPB sites</t>
        </r>
      </text>
    </comment>
  </commentList>
</comments>
</file>

<file path=xl/sharedStrings.xml><?xml version="1.0" encoding="utf-8"?>
<sst xmlns="http://schemas.openxmlformats.org/spreadsheetml/2006/main" count="3088" uniqueCount="237">
  <si>
    <t>IAI 2019 Life Cycle Inventory Summary by Region and Unit Process</t>
  </si>
  <si>
    <t>Notes</t>
  </si>
  <si>
    <t>Global and regional production weighted averages in this workbook are derived from the IAI's 2019 Data Surveys</t>
  </si>
  <si>
    <r>
      <rPr>
        <i/>
        <sz val="10"/>
        <color theme="1"/>
        <rFont val="Helvetica"/>
        <family val="2"/>
      </rPr>
      <t>nd</t>
    </r>
    <r>
      <rPr>
        <sz val="10"/>
        <color theme="1"/>
        <rFont val="Helvetica"/>
        <family val="2"/>
      </rPr>
      <t xml:space="preserve"> denotes an LCI flow for which insufficient data has been reported, in such cases we recommend use of the global average as a proxy</t>
    </r>
  </si>
  <si>
    <t xml:space="preserve">IAI collects data for the LCI through the following surveys: </t>
  </si>
  <si>
    <t>Data collection frequency</t>
  </si>
  <si>
    <t>LCI Survey 2019</t>
  </si>
  <si>
    <t>5 yearly</t>
  </si>
  <si>
    <t>Alumina Energy Survey 2019</t>
  </si>
  <si>
    <t>Annual</t>
  </si>
  <si>
    <t>Aluminium Energy Survey 2019</t>
  </si>
  <si>
    <t>Casting Energy Survey 2019</t>
  </si>
  <si>
    <t>Anode Effect Survey 2019</t>
  </si>
  <si>
    <t>Bauxite Residue Survey 2019</t>
  </si>
  <si>
    <t>Additional supplementary data is sourced from relevant regional associations e.g. European Aluminium, China Non Ferrous Metals Industry Association</t>
  </si>
  <si>
    <t>Key to regions</t>
  </si>
  <si>
    <t>GLO</t>
  </si>
  <si>
    <t>Global</t>
  </si>
  <si>
    <t>AFR</t>
  </si>
  <si>
    <t>Africa</t>
  </si>
  <si>
    <t>CAN</t>
  </si>
  <si>
    <t>Canada</t>
  </si>
  <si>
    <t>CNA</t>
  </si>
  <si>
    <t>China</t>
  </si>
  <si>
    <t>EUR</t>
  </si>
  <si>
    <t xml:space="preserve">Europe </t>
  </si>
  <si>
    <t>GCC</t>
  </si>
  <si>
    <t>Gulf Cooperation Council</t>
  </si>
  <si>
    <t>NAM</t>
  </si>
  <si>
    <t>North America</t>
  </si>
  <si>
    <t>OCA</t>
  </si>
  <si>
    <t>Oceania</t>
  </si>
  <si>
    <t>OAS</t>
  </si>
  <si>
    <t>Other Asia</t>
  </si>
  <si>
    <t>ROE</t>
  </si>
  <si>
    <t>Russia and Other Europe</t>
  </si>
  <si>
    <t>SAM</t>
  </si>
  <si>
    <t>South America</t>
  </si>
  <si>
    <t xml:space="preserve">* </t>
  </si>
  <si>
    <t>Process data taken from GaBi</t>
  </si>
  <si>
    <t xml:space="preserve">** </t>
  </si>
  <si>
    <t>Global prebake/Søderberg technology ratio (production weighted)</t>
  </si>
  <si>
    <t xml:space="preserve">*** </t>
  </si>
  <si>
    <t>Prebake anode mass balance comprises recycled anode butts from prebake electrolysis process</t>
  </si>
  <si>
    <t>Bauxite mining</t>
  </si>
  <si>
    <t>kg Bauxite</t>
  </si>
  <si>
    <t>Bauxite transport (bulk vessel)</t>
  </si>
  <si>
    <t>tkm</t>
  </si>
  <si>
    <t>Calcined lime production *</t>
  </si>
  <si>
    <t>Alumina production</t>
  </si>
  <si>
    <t>NaOH production *</t>
  </si>
  <si>
    <t>kg Lime</t>
  </si>
  <si>
    <t>kg Alumina</t>
  </si>
  <si>
    <t>kg NaOH (100%)</t>
  </si>
  <si>
    <t>Electricity production</t>
  </si>
  <si>
    <t>Alumina transport (bulk vessel)</t>
  </si>
  <si>
    <t>Cathode carbon production *</t>
  </si>
  <si>
    <t>kg Carbon</t>
  </si>
  <si>
    <t>GLOBAL (GLO)</t>
  </si>
  <si>
    <t>Aluminium fluoride production *</t>
  </si>
  <si>
    <r>
      <t>kg AlF</t>
    </r>
    <r>
      <rPr>
        <vertAlign val="subscript"/>
        <sz val="10"/>
        <rFont val="Helvetica"/>
        <family val="2"/>
      </rPr>
      <t>3</t>
    </r>
  </si>
  <si>
    <t>Petrol coke production *</t>
  </si>
  <si>
    <t>kg Petrol Coke</t>
  </si>
  <si>
    <t>Anode production</t>
  </si>
  <si>
    <t>Aluminium electrolysis (prebake) **</t>
  </si>
  <si>
    <t>Aluminium electrolysis (Søderberg) **</t>
  </si>
  <si>
    <t>kg Anodes</t>
  </si>
  <si>
    <t>kg Aluminium</t>
  </si>
  <si>
    <t>Pitch production *</t>
  </si>
  <si>
    <t>kg Pitch</t>
  </si>
  <si>
    <t>Anode butts ***</t>
  </si>
  <si>
    <t>kg Anode Butts</t>
  </si>
  <si>
    <t>Aluminium ingot casting</t>
  </si>
  <si>
    <t>kg Ingots</t>
  </si>
  <si>
    <t>1 tonne aluminium</t>
  </si>
  <si>
    <t xml:space="preserve"> Summary by unit process and region (per tonne of Al)</t>
  </si>
  <si>
    <t>nd = no data</t>
  </si>
  <si>
    <t>Anode/Paste</t>
  </si>
  <si>
    <t>Electrolysis</t>
  </si>
  <si>
    <t>Casting</t>
  </si>
  <si>
    <t>of which CAN</t>
  </si>
  <si>
    <t>CIS</t>
  </si>
  <si>
    <t>Bauxite</t>
  </si>
  <si>
    <t>Alumina</t>
  </si>
  <si>
    <t xml:space="preserve">Alumina </t>
  </si>
  <si>
    <t>Anode/ Paste</t>
  </si>
  <si>
    <t>Liquid Metal</t>
  </si>
  <si>
    <t>Ingot</t>
  </si>
  <si>
    <t xml:space="preserve">Production </t>
  </si>
  <si>
    <t>000 tonnes</t>
  </si>
  <si>
    <t>LCI Reporting</t>
  </si>
  <si>
    <t>%</t>
  </si>
  <si>
    <t>LCI Survey Reporting Production</t>
  </si>
  <si>
    <t>Energy Survey Reporting</t>
  </si>
  <si>
    <t>Energy Survey Reporting Production</t>
  </si>
  <si>
    <t xml:space="preserve">Reference Flow </t>
  </si>
  <si>
    <t>tonnes</t>
  </si>
  <si>
    <t>Transport</t>
  </si>
  <si>
    <t>Average sea transport</t>
  </si>
  <si>
    <t>tkm/t Al ingot</t>
  </si>
  <si>
    <t>nd</t>
  </si>
  <si>
    <t>Average road transport</t>
  </si>
  <si>
    <t>Average rail transport</t>
  </si>
  <si>
    <t>Material input</t>
  </si>
  <si>
    <t>kg/t Al ingot</t>
  </si>
  <si>
    <t>Caustic soda</t>
  </si>
  <si>
    <t xml:space="preserve">Calcined lime </t>
  </si>
  <si>
    <t>Fresh water</t>
  </si>
  <si>
    <r>
      <t>m</t>
    </r>
    <r>
      <rPr>
        <vertAlign val="superscript"/>
        <sz val="11"/>
        <rFont val="Helvetica"/>
        <family val="2"/>
      </rPr>
      <t>3</t>
    </r>
    <r>
      <rPr>
        <sz val="11"/>
        <rFont val="Helvetica"/>
        <family val="2"/>
      </rPr>
      <t>/t Al ingot</t>
    </r>
  </si>
  <si>
    <t>Sea water</t>
  </si>
  <si>
    <t xml:space="preserve">Pitch </t>
  </si>
  <si>
    <t>Refractory material</t>
  </si>
  <si>
    <t>Steel</t>
  </si>
  <si>
    <t>Cathode carbon</t>
  </si>
  <si>
    <t>Aluminium fluoride</t>
  </si>
  <si>
    <t>Electrolysis metal</t>
  </si>
  <si>
    <t>Alloy additives</t>
  </si>
  <si>
    <t>Chlorine</t>
  </si>
  <si>
    <t>Argon</t>
  </si>
  <si>
    <t>Nitrogen</t>
  </si>
  <si>
    <t>Water and Land Use</t>
  </si>
  <si>
    <t>Fresh water consumption</t>
  </si>
  <si>
    <t>Sea water consumption</t>
  </si>
  <si>
    <t>Land occupation</t>
  </si>
  <si>
    <t>Land transformation</t>
  </si>
  <si>
    <t xml:space="preserve">Before </t>
  </si>
  <si>
    <t>land use type (% area reported)</t>
  </si>
  <si>
    <t>After</t>
  </si>
  <si>
    <t>Regeneration Period</t>
  </si>
  <si>
    <t>years/t Al ingot</t>
  </si>
  <si>
    <t>Energy input</t>
  </si>
  <si>
    <t>Heavy oil</t>
  </si>
  <si>
    <t>MJ/t Al ingot</t>
  </si>
  <si>
    <t>Diesel oil</t>
  </si>
  <si>
    <t>Natural gas</t>
  </si>
  <si>
    <t>Coal</t>
  </si>
  <si>
    <t>Electricity</t>
  </si>
  <si>
    <t>Other</t>
  </si>
  <si>
    <t>Air emissions</t>
  </si>
  <si>
    <t>Particulates</t>
  </si>
  <si>
    <t>Sulfur dioxide</t>
  </si>
  <si>
    <r>
      <t>Nitrous oxides (as NO</t>
    </r>
    <r>
      <rPr>
        <vertAlign val="subscript"/>
        <sz val="11"/>
        <rFont val="Helvetica"/>
        <family val="2"/>
      </rPr>
      <t>2</t>
    </r>
    <r>
      <rPr>
        <sz val="11"/>
        <rFont val="Helvetica"/>
        <family val="2"/>
      </rPr>
      <t>)</t>
    </r>
  </si>
  <si>
    <t>Mercury</t>
  </si>
  <si>
    <t>g/t Al ingot</t>
  </si>
  <si>
    <r>
      <t>SF</t>
    </r>
    <r>
      <rPr>
        <vertAlign val="subscript"/>
        <sz val="11"/>
        <rFont val="Helvetica"/>
        <family val="2"/>
      </rPr>
      <t>6</t>
    </r>
  </si>
  <si>
    <t>Particulate fluoride (as F)</t>
  </si>
  <si>
    <t>Gaseous fluoride (as F)</t>
  </si>
  <si>
    <t>Total polycyclic aromatic hydrocarbons</t>
  </si>
  <si>
    <t>Benzo(a)pyrene</t>
  </si>
  <si>
    <t>Tetrafluoromethane</t>
  </si>
  <si>
    <t>Hexafluoroethane</t>
  </si>
  <si>
    <t>Hydrogen chloride</t>
  </si>
  <si>
    <t>Water emissions</t>
  </si>
  <si>
    <t>Suspended solids</t>
  </si>
  <si>
    <t>Oil and grease/total hydrocarbons</t>
  </si>
  <si>
    <t>Fluoride (as F)</t>
  </si>
  <si>
    <t>Polycyclic aromatic hydrocarbons (6 Borneff components)</t>
  </si>
  <si>
    <t>By-Products (for external recycling)</t>
  </si>
  <si>
    <t>Bauxite residue</t>
  </si>
  <si>
    <t>Spent pot lining carbon</t>
  </si>
  <si>
    <t>Spent pot lining refractory</t>
  </si>
  <si>
    <t>Refractory</t>
  </si>
  <si>
    <t>Dross</t>
  </si>
  <si>
    <t>Filter dust</t>
  </si>
  <si>
    <t>Solid waste (for landfilling)</t>
  </si>
  <si>
    <t>Mine solid waste</t>
  </si>
  <si>
    <t>Bauxite residues (red mud)</t>
  </si>
  <si>
    <t>Spent pot lining</t>
  </si>
  <si>
    <t>Waste alumina</t>
  </si>
  <si>
    <t>Waste carbon or mix</t>
  </si>
  <si>
    <t>Scrubber sludges</t>
  </si>
  <si>
    <t>Refractory (excl. spent pot lining)</t>
  </si>
  <si>
    <t>Other solid industrial waste</t>
  </si>
  <si>
    <t>of which hazardous waste</t>
  </si>
  <si>
    <t>Summary (per tonne of product)</t>
  </si>
  <si>
    <t>Tonnes of prebake anode per tonne of aluminium:</t>
  </si>
  <si>
    <t>Bauxite Production</t>
  </si>
  <si>
    <t>Prebake Al production:</t>
  </si>
  <si>
    <t>Percentage Split:</t>
  </si>
  <si>
    <t>Tonnes of Søderberg paste per tonne of aluminium:</t>
  </si>
  <si>
    <t>Metallurgical Alumina Production</t>
  </si>
  <si>
    <t>Søderberg Al Production:</t>
  </si>
  <si>
    <t>Paste</t>
  </si>
  <si>
    <t>Anode</t>
  </si>
  <si>
    <t>Electrolysis (S)</t>
  </si>
  <si>
    <t>Electrolysis (P)</t>
  </si>
  <si>
    <t>Reference Flow (Material)</t>
  </si>
  <si>
    <t>Reference Flow (t product per t Al ingot)</t>
  </si>
  <si>
    <t>% global production reporting</t>
  </si>
  <si>
    <t>tkm/t product</t>
  </si>
  <si>
    <t>kg/t product</t>
  </si>
  <si>
    <t>m3/t product</t>
  </si>
  <si>
    <t>Calcined Coke</t>
  </si>
  <si>
    <t>Anodes (gross)/Søderberg Paste</t>
  </si>
  <si>
    <t xml:space="preserve">Land use type before </t>
  </si>
  <si>
    <t>land use type</t>
  </si>
  <si>
    <t>Other forest</t>
  </si>
  <si>
    <t>Land use type after</t>
  </si>
  <si>
    <t>Forest</t>
  </si>
  <si>
    <t xml:space="preserve">Average occupation time </t>
  </si>
  <si>
    <t>years/t product</t>
  </si>
  <si>
    <t>MJ/t product</t>
  </si>
  <si>
    <t>g/t product</t>
  </si>
  <si>
    <t>Dioxin/furans</t>
  </si>
  <si>
    <t xml:space="preserve">Calculated Emissions </t>
  </si>
  <si>
    <t>(Based on GHG Protocol Tools - Aluminium Sector GHG Workbook &amp; Stationary Combustion Tool)</t>
  </si>
  <si>
    <t>Carbon dioxide (non-fuel)</t>
  </si>
  <si>
    <t>Alumina Production</t>
  </si>
  <si>
    <t>% regional production reporting</t>
  </si>
  <si>
    <t>Refer to Global Data</t>
  </si>
  <si>
    <t>m2/t product</t>
  </si>
  <si>
    <t>North America (NAM)</t>
  </si>
  <si>
    <t>Alumina Production (NAM)</t>
  </si>
  <si>
    <t xml:space="preserve">Alumina production </t>
  </si>
  <si>
    <t>Calculated Emissions</t>
  </si>
  <si>
    <t>North America (Canada)</t>
  </si>
  <si>
    <t>-</t>
  </si>
  <si>
    <t xml:space="preserve">Alumina Production </t>
  </si>
  <si>
    <t>Alumina production (NAM)</t>
  </si>
  <si>
    <t>SF6</t>
  </si>
  <si>
    <t>% regional production</t>
  </si>
  <si>
    <t>Europe</t>
  </si>
  <si>
    <t>Prebake Al production</t>
  </si>
  <si>
    <t>Percentage split:</t>
  </si>
  <si>
    <t>Søderberg Al Production</t>
  </si>
  <si>
    <t>"Calculated emissions" are based on existing GHG Protocol Tools (Aluminium Sector GHG Workbook &amp; Stationary Combustion Tools)</t>
  </si>
  <si>
    <t>Biennially</t>
  </si>
  <si>
    <t>Tropical Rainforest</t>
  </si>
  <si>
    <t>Treated and vegetated</t>
  </si>
  <si>
    <t xml:space="preserve">Pastureland </t>
  </si>
  <si>
    <t>MJ</t>
  </si>
  <si>
    <t>Overburden</t>
  </si>
  <si>
    <t>(2019, instead of 2020, was picked as the reference year to avoid the pandemic impact)</t>
  </si>
  <si>
    <t>Carbon dioxide (fuels)</t>
  </si>
  <si>
    <t>Methane (fuels)</t>
  </si>
  <si>
    <t>Nitrous oxide (fuels)</t>
  </si>
  <si>
    <t>m2/t Al ingot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</si>
</sst>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0.000"/>
    <numFmt numFmtId="168" formatCode="#,##0.000"/>
    <numFmt numFmtId="169" formatCode="#,##0.00000"/>
    <numFmt numFmtId="170" formatCode="#,##0.0000"/>
    <numFmt numFmtId="171" formatCode="_-* #,##0_-;\-* #,##0_-;_-* &quot;-&quot;??_-;_-@_-"/>
    <numFmt numFmtId="172" formatCode="#,##0.0"/>
    <numFmt numFmtId="173" formatCode="_-* #,##0.00_-;\-* #,##0.00_-;_-* \-??_-;_-@_-"/>
    <numFmt numFmtId="174" formatCode="_(* #,##0.00_);_(* \(#,##0.00\);_(* \-??_);_(@_)"/>
    <numFmt numFmtId="175" formatCode="_-[$€]* #,##0.00_-;\-[$€]* #,##0.00_-;_-[$€]* \-??_-;_-@_-"/>
    <numFmt numFmtId="176" formatCode="_(* #,##0.0_);_(* \(#,##0.0\);_(* &quot;-&quot;??_);_(@_)"/>
    <numFmt numFmtId="177" formatCode="#,##0_)"/>
    <numFmt numFmtId="178" formatCode="###0.00_)"/>
    <numFmt numFmtId="179" formatCode="0.0_W"/>
    <numFmt numFmtId="180" formatCode="0.0"/>
    <numFmt numFmtId="181" formatCode="0.000000"/>
    <numFmt numFmtId="182" formatCode="0.0000"/>
    <numFmt numFmtId="183" formatCode="0.0E+00"/>
    <numFmt numFmtId="184" formatCode="0.000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Helvetica"/>
      <family val="2"/>
    </font>
    <font>
      <sz val="10"/>
      <name val="Arial"/>
      <family val="2"/>
    </font>
    <font>
      <b/>
      <sz val="11"/>
      <name val="Helvetica"/>
      <family val="2"/>
    </font>
    <font>
      <i/>
      <sz val="11"/>
      <name val="Helvetica"/>
      <family val="2"/>
    </font>
    <font>
      <vertAlign val="superscript"/>
      <sz val="11"/>
      <name val="Helvetica"/>
      <family val="2"/>
    </font>
    <font>
      <vertAlign val="subscript"/>
      <sz val="11"/>
      <name val="Helvetic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Helvetica"/>
      <family val="2"/>
    </font>
    <font>
      <i/>
      <sz val="11"/>
      <color theme="0" tint="-0.499984740745262"/>
      <name val="Helvetica"/>
      <family val="2"/>
    </font>
    <font>
      <sz val="11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u/>
      <sz val="7.5"/>
      <color indexed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2"/>
      <name val="Helv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12"/>
      <name val="Times New Roman"/>
      <family val="1"/>
    </font>
    <font>
      <b/>
      <sz val="9"/>
      <name val="Helv"/>
    </font>
    <font>
      <sz val="8.5"/>
      <name val="Helv"/>
    </font>
    <font>
      <b/>
      <sz val="10"/>
      <name val="Helv"/>
    </font>
    <font>
      <sz val="1"/>
      <name val="Arial"/>
      <family val="2"/>
    </font>
    <font>
      <sz val="8"/>
      <name val="Helv"/>
      <family val="2"/>
    </font>
    <font>
      <b/>
      <sz val="14"/>
      <name val="Helv"/>
    </font>
    <font>
      <sz val="10"/>
      <name val="Arial Unicode MS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Helvetica"/>
      <family val="2"/>
    </font>
    <font>
      <b/>
      <sz val="11"/>
      <color theme="0" tint="-0.499984740745262"/>
      <name val="Calibri"/>
      <family val="2"/>
      <scheme val="minor"/>
    </font>
    <font>
      <sz val="10"/>
      <name val="Helvetica"/>
      <family val="2"/>
    </font>
    <font>
      <vertAlign val="subscript"/>
      <sz val="10"/>
      <name val="Helvetica"/>
      <family val="2"/>
    </font>
    <font>
      <b/>
      <sz val="10"/>
      <name val="Helvetica"/>
      <family val="2"/>
    </font>
    <font>
      <sz val="10"/>
      <color theme="1"/>
      <name val="Helvetica"/>
      <family val="2"/>
    </font>
    <font>
      <sz val="11"/>
      <color rgb="FF0070C0"/>
      <name val="Helvetica"/>
      <family val="2"/>
    </font>
    <font>
      <sz val="11"/>
      <color theme="0" tint="-0.499984740745262"/>
      <name val="Calibri"/>
      <family val="2"/>
      <scheme val="minor"/>
    </font>
    <font>
      <b/>
      <sz val="12"/>
      <name val="Helvetica"/>
      <family val="2"/>
    </font>
    <font>
      <i/>
      <sz val="10"/>
      <color theme="1"/>
      <name val="Helvetica"/>
      <family val="2"/>
    </font>
    <font>
      <b/>
      <sz val="10"/>
      <color theme="1"/>
      <name val="Helvetica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5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i/>
      <sz val="11"/>
      <name val="Helvetica"/>
      <family val="2"/>
    </font>
    <font>
      <sz val="11"/>
      <name val="Helvetic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9"/>
      </patternFill>
    </fill>
    <fill>
      <patternFill patternType="darkTrellis"/>
    </fill>
    <fill>
      <patternFill patternType="solid">
        <fgColor indexed="2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9" fontId="20" fillId="0" borderId="2" applyNumberFormat="0" applyFont="0" applyFill="0" applyBorder="0" applyProtection="0">
      <alignment horizontal="left" vertical="center" indent="2"/>
    </xf>
    <xf numFmtId="49" fontId="20" fillId="0" borderId="7" applyNumberFormat="0" applyFont="0" applyFill="0" applyBorder="0" applyProtection="0">
      <alignment horizontal="left" vertical="center" indent="5"/>
    </xf>
    <xf numFmtId="4" fontId="21" fillId="0" borderId="5" applyFill="0" applyBorder="0" applyProtection="0">
      <alignment horizontal="right" vertical="center"/>
    </xf>
    <xf numFmtId="0" fontId="22" fillId="0" borderId="0">
      <alignment horizontal="center" vertical="center" wrapText="1"/>
    </xf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4" fontId="3" fillId="0" borderId="0" applyFill="0" applyBorder="0" applyAlignment="0" applyProtection="0"/>
    <xf numFmtId="174" fontId="3" fillId="0" borderId="0" applyFill="0" applyBorder="0" applyAlignment="0" applyProtection="0"/>
    <xf numFmtId="173" fontId="34" fillId="0" borderId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73" fontId="34" fillId="0" borderId="0" applyFill="0" applyBorder="0" applyAlignment="0" applyProtection="0"/>
    <xf numFmtId="173" fontId="34" fillId="0" borderId="0" applyFill="0" applyBorder="0" applyAlignment="0" applyProtection="0"/>
    <xf numFmtId="173" fontId="34" fillId="0" borderId="0" applyFill="0" applyBorder="0" applyAlignment="0" applyProtection="0"/>
    <xf numFmtId="173" fontId="34" fillId="0" borderId="0" applyFill="0" applyBorder="0" applyAlignment="0" applyProtection="0"/>
    <xf numFmtId="173" fontId="34" fillId="0" borderId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3" fillId="0" borderId="0">
      <alignment horizontal="left" vertical="center" wrapText="1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3" fontId="24" fillId="0" borderId="8" applyAlignment="0">
      <alignment horizontal="right" vertical="center"/>
    </xf>
    <xf numFmtId="177" fontId="24" fillId="0" borderId="8">
      <alignment horizontal="right" vertical="center"/>
    </xf>
    <xf numFmtId="49" fontId="25" fillId="0" borderId="8">
      <alignment horizontal="left" vertical="center"/>
    </xf>
    <xf numFmtId="178" fontId="26" fillId="0" borderId="8" applyNumberFormat="0" applyFill="0">
      <alignment horizontal="right"/>
    </xf>
    <xf numFmtId="179" fontId="26" fillId="0" borderId="8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0" fontId="36" fillId="3" borderId="9" applyNumberFormat="0" applyAlignment="0" applyProtection="0"/>
    <xf numFmtId="0" fontId="18" fillId="0" borderId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>
      <alignment horizontal="left"/>
    </xf>
    <xf numFmtId="0" fontId="28" fillId="0" borderId="10">
      <alignment horizontal="right" vertical="center"/>
    </xf>
    <xf numFmtId="0" fontId="29" fillId="0" borderId="8">
      <alignment horizontal="left" vertical="center"/>
    </xf>
    <xf numFmtId="0" fontId="26" fillId="0" borderId="8">
      <alignment horizontal="left" vertical="center"/>
    </xf>
    <xf numFmtId="0" fontId="30" fillId="0" borderId="8">
      <alignment horizontal="left"/>
    </xf>
    <xf numFmtId="0" fontId="30" fillId="4" borderId="0">
      <alignment horizontal="centerContinuous" wrapText="1"/>
    </xf>
    <xf numFmtId="49" fontId="30" fillId="4" borderId="1">
      <alignment horizontal="left" vertical="center"/>
    </xf>
    <xf numFmtId="0" fontId="30" fillId="4" borderId="0">
      <alignment horizontal="centerContinuous" vertical="center" wrapText="1"/>
    </xf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5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4" fontId="20" fillId="0" borderId="2" applyFill="0" applyBorder="0" applyProtection="0">
      <alignment horizontal="right" vertical="center"/>
    </xf>
    <xf numFmtId="49" fontId="21" fillId="0" borderId="2" applyNumberFormat="0" applyFill="0" applyBorder="0" applyProtection="0">
      <alignment horizontal="left" vertical="center"/>
    </xf>
    <xf numFmtId="0" fontId="20" fillId="0" borderId="2" applyNumberFormat="0" applyFill="0" applyAlignment="0" applyProtection="0"/>
    <xf numFmtId="0" fontId="32" fillId="5" borderId="0" applyNumberFormat="0" applyFont="0" applyBorder="0" applyAlignment="0" applyProtection="0"/>
    <xf numFmtId="0" fontId="3" fillId="6" borderId="11" applyNumberFormat="0" applyAlignment="0" applyProtection="0"/>
    <xf numFmtId="0" fontId="3" fillId="6" borderId="11" applyNumberFormat="0" applyAlignment="0" applyProtection="0"/>
    <xf numFmtId="0" fontId="3" fillId="6" borderId="11" applyNumberFormat="0" applyAlignment="0" applyProtection="0"/>
    <xf numFmtId="0" fontId="3" fillId="6" borderId="11" applyNumberFormat="0" applyAlignment="0" applyProtection="0"/>
    <xf numFmtId="170" fontId="20" fillId="7" borderId="2" applyNumberFormat="0" applyFont="0" applyBorder="0" applyAlignment="0" applyProtection="0">
      <alignment horizontal="right" vertical="center"/>
    </xf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4" fillId="0" borderId="0" applyFill="0" applyBorder="0" applyAlignment="0" applyProtection="0"/>
    <xf numFmtId="3" fontId="24" fillId="0" borderId="0">
      <alignment horizontal="left" vertical="center"/>
    </xf>
    <xf numFmtId="0" fontId="22" fillId="0" borderId="0">
      <alignment horizontal="left" vertical="center"/>
    </xf>
    <xf numFmtId="0" fontId="32" fillId="0" borderId="0">
      <alignment horizontal="right"/>
    </xf>
    <xf numFmtId="49" fontId="32" fillId="0" borderId="0">
      <alignment horizontal="center"/>
    </xf>
    <xf numFmtId="0" fontId="25" fillId="0" borderId="0">
      <alignment horizontal="right"/>
    </xf>
    <xf numFmtId="0" fontId="32" fillId="0" borderId="0">
      <alignment horizontal="left"/>
    </xf>
    <xf numFmtId="0" fontId="20" fillId="0" borderId="0"/>
    <xf numFmtId="49" fontId="24" fillId="0" borderId="0">
      <alignment horizontal="left" vertical="center"/>
    </xf>
    <xf numFmtId="49" fontId="25" fillId="0" borderId="8">
      <alignment horizontal="left" vertical="center"/>
    </xf>
    <xf numFmtId="49" fontId="22" fillId="0" borderId="8" applyFill="0">
      <alignment horizontal="left" vertical="center"/>
    </xf>
    <xf numFmtId="178" fontId="24" fillId="0" borderId="0" applyNumberFormat="0">
      <alignment horizontal="right"/>
    </xf>
    <xf numFmtId="0" fontId="28" fillId="8" borderId="0">
      <alignment horizontal="centerContinuous" vertical="center" wrapText="1"/>
    </xf>
    <xf numFmtId="0" fontId="28" fillId="0" borderId="12">
      <alignment horizontal="left" vertical="center"/>
    </xf>
    <xf numFmtId="0" fontId="33" fillId="0" borderId="0">
      <alignment horizontal="left" vertical="top"/>
    </xf>
    <xf numFmtId="0" fontId="30" fillId="0" borderId="0">
      <alignment horizontal="left"/>
    </xf>
    <xf numFmtId="0" fontId="23" fillId="0" borderId="0">
      <alignment horizontal="left"/>
    </xf>
    <xf numFmtId="0" fontId="26" fillId="0" borderId="0">
      <alignment horizontal="left"/>
    </xf>
    <xf numFmtId="0" fontId="33" fillId="0" borderId="0">
      <alignment horizontal="left" vertical="top"/>
    </xf>
    <xf numFmtId="0" fontId="23" fillId="0" borderId="0">
      <alignment horizontal="left"/>
    </xf>
    <xf numFmtId="0" fontId="26" fillId="0" borderId="0">
      <alignment horizontal="left"/>
    </xf>
    <xf numFmtId="49" fontId="24" fillId="0" borderId="8">
      <alignment horizontal="left"/>
    </xf>
    <xf numFmtId="0" fontId="28" fillId="0" borderId="10">
      <alignment horizontal="left"/>
    </xf>
    <xf numFmtId="0" fontId="30" fillId="0" borderId="0">
      <alignment horizontal="left" vertical="center"/>
    </xf>
    <xf numFmtId="49" fontId="32" fillId="0" borderId="8">
      <alignment horizontal="left"/>
    </xf>
    <xf numFmtId="0" fontId="20" fillId="0" borderId="0"/>
  </cellStyleXfs>
  <cellXfs count="319">
    <xf numFmtId="0" fontId="0" fillId="0" borderId="0" xfId="0"/>
    <xf numFmtId="0" fontId="5" fillId="0" borderId="3" xfId="0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67" fontId="5" fillId="0" borderId="5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3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11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72" fontId="2" fillId="0" borderId="4" xfId="0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/>
    </xf>
    <xf numFmtId="171" fontId="2" fillId="0" borderId="0" xfId="0" applyNumberFormat="1" applyFont="1"/>
    <xf numFmtId="171" fontId="13" fillId="0" borderId="2" xfId="1" applyNumberFormat="1" applyFont="1" applyBorder="1"/>
    <xf numFmtId="171" fontId="13" fillId="0" borderId="5" xfId="1" applyNumberFormat="1" applyFont="1" applyBorder="1"/>
    <xf numFmtId="0" fontId="10" fillId="0" borderId="0" xfId="0" applyFont="1"/>
    <xf numFmtId="0" fontId="9" fillId="0" borderId="0" xfId="0" applyFont="1"/>
    <xf numFmtId="169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70" fontId="10" fillId="0" borderId="0" xfId="0" applyNumberFormat="1" applyFont="1" applyAlignment="1">
      <alignment horizontal="center"/>
    </xf>
    <xf numFmtId="172" fontId="2" fillId="0" borderId="0" xfId="0" applyNumberFormat="1" applyFont="1" applyAlignment="1">
      <alignment horizontal="center"/>
    </xf>
    <xf numFmtId="0" fontId="5" fillId="0" borderId="3" xfId="2" applyFont="1" applyBorder="1" applyAlignment="1">
      <alignment horizontal="center" vertical="center" wrapText="1"/>
    </xf>
    <xf numFmtId="9" fontId="2" fillId="0" borderId="0" xfId="4" applyFont="1" applyBorder="1" applyAlignment="1">
      <alignment horizontal="center"/>
    </xf>
    <xf numFmtId="0" fontId="5" fillId="0" borderId="0" xfId="3" applyFont="1" applyAlignment="1">
      <alignment horizontal="right"/>
    </xf>
    <xf numFmtId="9" fontId="2" fillId="0" borderId="6" xfId="4" applyFont="1" applyBorder="1" applyAlignment="1">
      <alignment horizontal="center"/>
    </xf>
    <xf numFmtId="0" fontId="4" fillId="0" borderId="0" xfId="3" applyFont="1" applyAlignment="1">
      <alignment horizontal="left"/>
    </xf>
    <xf numFmtId="3" fontId="13" fillId="0" borderId="5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  <xf numFmtId="9" fontId="13" fillId="0" borderId="0" xfId="4" applyFont="1" applyBorder="1" applyAlignment="1">
      <alignment horizontal="center"/>
    </xf>
    <xf numFmtId="0" fontId="0" fillId="0" borderId="13" xfId="0" applyBorder="1"/>
    <xf numFmtId="0" fontId="3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3" applyFont="1" applyAlignment="1">
      <alignment horizontal="right"/>
    </xf>
    <xf numFmtId="3" fontId="2" fillId="0" borderId="0" xfId="3" applyNumberFormat="1" applyFont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 vertical="center" wrapText="1"/>
    </xf>
    <xf numFmtId="2" fontId="0" fillId="0" borderId="6" xfId="0" applyNumberFormat="1" applyBorder="1"/>
    <xf numFmtId="2" fontId="2" fillId="0" borderId="13" xfId="0" applyNumberFormat="1" applyFont="1" applyBorder="1" applyAlignment="1">
      <alignment horizontal="center"/>
    </xf>
    <xf numFmtId="2" fontId="0" fillId="0" borderId="0" xfId="0" applyNumberFormat="1"/>
    <xf numFmtId="2" fontId="2" fillId="0" borderId="3" xfId="0" applyNumberFormat="1" applyFont="1" applyBorder="1" applyAlignment="1">
      <alignment horizontal="center"/>
    </xf>
    <xf numFmtId="2" fontId="2" fillId="0" borderId="4" xfId="2" applyNumberFormat="1" applyFont="1" applyBorder="1" applyAlignment="1">
      <alignment horizontal="center" vertical="center" wrapText="1"/>
    </xf>
    <xf numFmtId="180" fontId="5" fillId="0" borderId="5" xfId="2" applyNumberFormat="1" applyFont="1" applyBorder="1" applyAlignment="1">
      <alignment horizontal="center" vertical="center" wrapText="1"/>
    </xf>
    <xf numFmtId="180" fontId="5" fillId="0" borderId="4" xfId="2" applyNumberFormat="1" applyFont="1" applyBorder="1" applyAlignment="1">
      <alignment horizontal="center" vertical="center" wrapText="1"/>
    </xf>
    <xf numFmtId="180" fontId="5" fillId="0" borderId="3" xfId="2" applyNumberFormat="1" applyFont="1" applyBorder="1" applyAlignment="1">
      <alignment horizontal="center" vertical="center" wrapText="1"/>
    </xf>
    <xf numFmtId="180" fontId="0" fillId="0" borderId="6" xfId="0" applyNumberFormat="1" applyBorder="1"/>
    <xf numFmtId="1" fontId="5" fillId="0" borderId="4" xfId="2" applyNumberFormat="1" applyFont="1" applyBorder="1" applyAlignment="1">
      <alignment horizontal="center" vertical="center" wrapText="1"/>
    </xf>
    <xf numFmtId="1" fontId="0" fillId="0" borderId="6" xfId="0" applyNumberFormat="1" applyBorder="1"/>
    <xf numFmtId="180" fontId="2" fillId="0" borderId="4" xfId="2" applyNumberFormat="1" applyFont="1" applyBorder="1" applyAlignment="1">
      <alignment horizontal="center" vertical="center" wrapText="1"/>
    </xf>
    <xf numFmtId="180" fontId="0" fillId="0" borderId="0" xfId="0" applyNumberFormat="1"/>
    <xf numFmtId="180" fontId="2" fillId="0" borderId="4" xfId="0" applyNumberFormat="1" applyFont="1" applyBorder="1" applyAlignment="1">
      <alignment horizontal="center"/>
    </xf>
    <xf numFmtId="1" fontId="2" fillId="0" borderId="4" xfId="2" applyNumberFormat="1" applyFont="1" applyBorder="1" applyAlignment="1">
      <alignment horizontal="center" vertical="center" wrapText="1"/>
    </xf>
    <xf numFmtId="1" fontId="0" fillId="0" borderId="0" xfId="0" applyNumberFormat="1"/>
    <xf numFmtId="1" fontId="2" fillId="0" borderId="4" xfId="0" applyNumberFormat="1" applyFont="1" applyBorder="1" applyAlignment="1">
      <alignment horizontal="center"/>
    </xf>
    <xf numFmtId="1" fontId="2" fillId="0" borderId="3" xfId="2" applyNumberFormat="1" applyFont="1" applyBorder="1" applyAlignment="1">
      <alignment horizontal="center" vertical="center" wrapText="1"/>
    </xf>
    <xf numFmtId="167" fontId="0" fillId="0" borderId="6" xfId="0" applyNumberFormat="1" applyBorder="1"/>
    <xf numFmtId="181" fontId="0" fillId="0" borderId="6" xfId="0" applyNumberFormat="1" applyBorder="1"/>
    <xf numFmtId="167" fontId="2" fillId="0" borderId="4" xfId="2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9" fontId="5" fillId="0" borderId="0" xfId="4" applyFont="1" applyBorder="1" applyAlignment="1">
      <alignment horizontal="center"/>
    </xf>
    <xf numFmtId="0" fontId="38" fillId="0" borderId="0" xfId="0" applyFont="1"/>
    <xf numFmtId="0" fontId="0" fillId="9" borderId="0" xfId="0" applyFill="1"/>
    <xf numFmtId="180" fontId="2" fillId="0" borderId="3" xfId="2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vertical="center" wrapText="1"/>
    </xf>
    <xf numFmtId="1" fontId="5" fillId="0" borderId="4" xfId="4" applyNumberFormat="1" applyFont="1" applyBorder="1" applyAlignment="1">
      <alignment horizontal="center" vertical="center" wrapText="1"/>
    </xf>
    <xf numFmtId="3" fontId="5" fillId="0" borderId="4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13" fillId="0" borderId="3" xfId="2" applyNumberFormat="1" applyFont="1" applyBorder="1" applyAlignment="1">
      <alignment horizontal="center" vertical="center" wrapText="1"/>
    </xf>
    <xf numFmtId="2" fontId="2" fillId="0" borderId="3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67" fontId="2" fillId="0" borderId="3" xfId="2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/>
    </xf>
    <xf numFmtId="0" fontId="11" fillId="0" borderId="3" xfId="2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4" fillId="0" borderId="2" xfId="2" applyFont="1" applyBorder="1" applyAlignment="1">
      <alignment horizontal="center"/>
    </xf>
    <xf numFmtId="0" fontId="2" fillId="0" borderId="0" xfId="0" applyFont="1" applyAlignment="1">
      <alignment horizontal="right"/>
    </xf>
    <xf numFmtId="9" fontId="2" fillId="0" borderId="4" xfId="4" applyFont="1" applyBorder="1" applyAlignment="1">
      <alignment horizontal="center"/>
    </xf>
    <xf numFmtId="0" fontId="13" fillId="0" borderId="0" xfId="3" applyFont="1" applyAlignment="1">
      <alignment horizontal="right"/>
    </xf>
    <xf numFmtId="0" fontId="13" fillId="0" borderId="0" xfId="3" applyFont="1" applyAlignment="1">
      <alignment horizontal="center"/>
    </xf>
    <xf numFmtId="172" fontId="13" fillId="0" borderId="4" xfId="0" applyNumberFormat="1" applyFont="1" applyBorder="1" applyAlignment="1">
      <alignment horizontal="center"/>
    </xf>
    <xf numFmtId="9" fontId="13" fillId="0" borderId="4" xfId="4" applyFont="1" applyBorder="1" applyAlignment="1">
      <alignment horizontal="center"/>
    </xf>
    <xf numFmtId="9" fontId="10" fillId="0" borderId="0" xfId="4" applyFont="1" applyBorder="1" applyAlignment="1">
      <alignment horizontal="center"/>
    </xf>
    <xf numFmtId="169" fontId="2" fillId="0" borderId="4" xfId="0" applyNumberFormat="1" applyFont="1" applyBorder="1" applyAlignment="1">
      <alignment horizontal="center"/>
    </xf>
    <xf numFmtId="9" fontId="2" fillId="0" borderId="0" xfId="4" applyFont="1" applyFill="1" applyBorder="1" applyAlignment="1">
      <alignment horizontal="center"/>
    </xf>
    <xf numFmtId="9" fontId="2" fillId="0" borderId="5" xfId="4" applyFont="1" applyBorder="1" applyAlignment="1">
      <alignment horizontal="center"/>
    </xf>
    <xf numFmtId="3" fontId="10" fillId="0" borderId="0" xfId="0" applyNumberFormat="1" applyFont="1"/>
    <xf numFmtId="172" fontId="0" fillId="0" borderId="0" xfId="0" applyNumberFormat="1"/>
    <xf numFmtId="4" fontId="0" fillId="0" borderId="0" xfId="0" applyNumberFormat="1"/>
    <xf numFmtId="172" fontId="2" fillId="0" borderId="5" xfId="0" applyNumberFormat="1" applyFont="1" applyBorder="1" applyAlignment="1">
      <alignment horizontal="center"/>
    </xf>
    <xf numFmtId="3" fontId="2" fillId="0" borderId="0" xfId="0" applyNumberFormat="1" applyFont="1"/>
    <xf numFmtId="171" fontId="13" fillId="0" borderId="2" xfId="1" applyNumberFormat="1" applyFont="1" applyBorder="1" applyAlignment="1">
      <alignment horizontal="center"/>
    </xf>
    <xf numFmtId="171" fontId="13" fillId="0" borderId="5" xfId="1" applyNumberFormat="1" applyFont="1" applyFill="1" applyBorder="1"/>
    <xf numFmtId="182" fontId="2" fillId="0" borderId="4" xfId="2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21" xfId="0" applyFont="1" applyBorder="1"/>
    <xf numFmtId="0" fontId="41" fillId="0" borderId="19" xfId="0" applyFont="1" applyBorder="1"/>
    <xf numFmtId="3" fontId="41" fillId="10" borderId="16" xfId="0" applyNumberFormat="1" applyFont="1" applyFill="1" applyBorder="1"/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3" xfId="0" applyFont="1" applyBorder="1"/>
    <xf numFmtId="0" fontId="41" fillId="0" borderId="20" xfId="0" applyFont="1" applyBorder="1"/>
    <xf numFmtId="0" fontId="41" fillId="0" borderId="24" xfId="0" applyFont="1" applyBorder="1"/>
    <xf numFmtId="0" fontId="41" fillId="0" borderId="25" xfId="0" applyFont="1" applyBorder="1"/>
    <xf numFmtId="0" fontId="41" fillId="0" borderId="18" xfId="0" applyFont="1" applyBorder="1"/>
    <xf numFmtId="3" fontId="41" fillId="0" borderId="0" xfId="0" applyNumberFormat="1" applyFont="1" applyAlignment="1">
      <alignment horizontal="center"/>
    </xf>
    <xf numFmtId="3" fontId="41" fillId="0" borderId="0" xfId="0" applyNumberFormat="1" applyFont="1"/>
    <xf numFmtId="0" fontId="41" fillId="0" borderId="0" xfId="0" applyFont="1" applyAlignment="1">
      <alignment horizontal="center"/>
    </xf>
    <xf numFmtId="0" fontId="41" fillId="0" borderId="22" xfId="0" applyFont="1" applyBorder="1"/>
    <xf numFmtId="9" fontId="43" fillId="0" borderId="16" xfId="0" applyNumberFormat="1" applyFont="1" applyBorder="1" applyAlignment="1">
      <alignment horizontal="center" vertical="center"/>
    </xf>
    <xf numFmtId="9" fontId="43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180" fontId="0" fillId="0" borderId="4" xfId="0" applyNumberFormat="1" applyBorder="1"/>
    <xf numFmtId="0" fontId="49" fillId="0" borderId="2" xfId="0" applyFont="1" applyBorder="1" applyAlignment="1">
      <alignment horizontal="center" wrapText="1"/>
    </xf>
    <xf numFmtId="0" fontId="49" fillId="0" borderId="2" xfId="0" applyFont="1" applyBorder="1" applyAlignment="1">
      <alignment horizontal="center"/>
    </xf>
    <xf numFmtId="0" fontId="49" fillId="0" borderId="0" xfId="0" applyFont="1"/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3" xfId="4" applyNumberFormat="1" applyFont="1" applyBorder="1" applyAlignment="1">
      <alignment horizontal="center" vertical="center"/>
    </xf>
    <xf numFmtId="9" fontId="11" fillId="0" borderId="3" xfId="4" applyFont="1" applyBorder="1" applyAlignment="1">
      <alignment horizontal="center" vertical="center"/>
    </xf>
    <xf numFmtId="0" fontId="46" fillId="0" borderId="0" xfId="0" applyFont="1"/>
    <xf numFmtId="0" fontId="46" fillId="0" borderId="6" xfId="0" applyFont="1" applyBorder="1"/>
    <xf numFmtId="9" fontId="11" fillId="0" borderId="4" xfId="4" applyFont="1" applyFill="1" applyBorder="1" applyAlignment="1">
      <alignment horizontal="center" vertical="center" wrapText="1"/>
    </xf>
    <xf numFmtId="0" fontId="46" fillId="0" borderId="4" xfId="0" applyFont="1" applyBorder="1"/>
    <xf numFmtId="9" fontId="11" fillId="0" borderId="4" xfId="4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0" fillId="9" borderId="0" xfId="0" applyFont="1" applyFill="1"/>
    <xf numFmtId="0" fontId="2" fillId="0" borderId="29" xfId="3" applyFont="1" applyBorder="1" applyAlignment="1">
      <alignment horizontal="right"/>
    </xf>
    <xf numFmtId="0" fontId="2" fillId="0" borderId="29" xfId="3" applyFont="1" applyBorder="1" applyAlignment="1">
      <alignment horizontal="center"/>
    </xf>
    <xf numFmtId="2" fontId="0" fillId="0" borderId="28" xfId="0" applyNumberFormat="1" applyBorder="1"/>
    <xf numFmtId="1" fontId="2" fillId="0" borderId="27" xfId="2" applyNumberFormat="1" applyFont="1" applyBorder="1" applyAlignment="1">
      <alignment horizontal="center" vertical="center" wrapText="1"/>
    </xf>
    <xf numFmtId="2" fontId="0" fillId="0" borderId="29" xfId="0" applyNumberFormat="1" applyBorder="1"/>
    <xf numFmtId="0" fontId="2" fillId="0" borderId="0" xfId="85" applyFont="1" applyAlignment="1">
      <alignment horizontal="right"/>
    </xf>
    <xf numFmtId="2" fontId="39" fillId="0" borderId="4" xfId="2" applyNumberFormat="1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71" fontId="0" fillId="0" borderId="0" xfId="0" applyNumberFormat="1"/>
    <xf numFmtId="2" fontId="5" fillId="0" borderId="5" xfId="2" applyNumberFormat="1" applyFont="1" applyBorder="1" applyAlignment="1">
      <alignment horizontal="center" vertical="center" wrapText="1"/>
    </xf>
    <xf numFmtId="9" fontId="2" fillId="0" borderId="4" xfId="4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9" fontId="13" fillId="0" borderId="0" xfId="4" applyFont="1" applyFill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0" fillId="0" borderId="0" xfId="0" applyNumberFormat="1"/>
    <xf numFmtId="172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3" fontId="52" fillId="0" borderId="4" xfId="0" applyNumberFormat="1" applyFont="1" applyBorder="1" applyAlignment="1">
      <alignment horizontal="center"/>
    </xf>
    <xf numFmtId="3" fontId="52" fillId="0" borderId="0" xfId="0" applyNumberFormat="1" applyFont="1" applyAlignment="1">
      <alignment horizontal="center"/>
    </xf>
    <xf numFmtId="172" fontId="52" fillId="0" borderId="4" xfId="0" applyNumberFormat="1" applyFont="1" applyBorder="1" applyAlignment="1">
      <alignment horizontal="center"/>
    </xf>
    <xf numFmtId="9" fontId="52" fillId="0" borderId="0" xfId="4" applyFont="1" applyFill="1" applyBorder="1" applyAlignment="1">
      <alignment horizontal="center"/>
    </xf>
    <xf numFmtId="4" fontId="52" fillId="0" borderId="4" xfId="0" applyNumberFormat="1" applyFont="1" applyBorder="1" applyAlignment="1">
      <alignment horizontal="center"/>
    </xf>
    <xf numFmtId="4" fontId="52" fillId="0" borderId="0" xfId="0" applyNumberFormat="1" applyFont="1" applyAlignment="1">
      <alignment horizontal="center"/>
    </xf>
    <xf numFmtId="9" fontId="2" fillId="0" borderId="6" xfId="4" applyFont="1" applyFill="1" applyBorder="1" applyAlignment="1">
      <alignment horizontal="center"/>
    </xf>
    <xf numFmtId="9" fontId="2" fillId="0" borderId="29" xfId="4" applyFont="1" applyFill="1" applyBorder="1" applyAlignment="1">
      <alignment horizontal="center"/>
    </xf>
    <xf numFmtId="9" fontId="2" fillId="0" borderId="28" xfId="4" applyFont="1" applyFill="1" applyBorder="1" applyAlignment="1">
      <alignment horizontal="center"/>
    </xf>
    <xf numFmtId="9" fontId="2" fillId="0" borderId="29" xfId="4" applyFont="1" applyBorder="1" applyAlignment="1">
      <alignment horizontal="center"/>
    </xf>
    <xf numFmtId="0" fontId="14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right"/>
    </xf>
    <xf numFmtId="0" fontId="5" fillId="0" borderId="29" xfId="0" applyFont="1" applyBorder="1" applyAlignment="1">
      <alignment horizontal="center"/>
    </xf>
    <xf numFmtId="2" fontId="2" fillId="0" borderId="33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26" xfId="2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1" fontId="2" fillId="0" borderId="5" xfId="2" applyNumberFormat="1" applyFont="1" applyBorder="1" applyAlignment="1">
      <alignment horizontal="center" vertical="center" wrapText="1"/>
    </xf>
    <xf numFmtId="180" fontId="2" fillId="0" borderId="5" xfId="2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/>
    </xf>
    <xf numFmtId="2" fontId="2" fillId="0" borderId="5" xfId="2" applyNumberFormat="1" applyFont="1" applyBorder="1" applyAlignment="1">
      <alignment horizontal="center" vertical="center" wrapText="1"/>
    </xf>
    <xf numFmtId="0" fontId="2" fillId="2" borderId="30" xfId="0" applyFont="1" applyFill="1" applyBorder="1"/>
    <xf numFmtId="0" fontId="2" fillId="2" borderId="32" xfId="0" applyFont="1" applyFill="1" applyBorder="1" applyAlignment="1">
      <alignment horizontal="right"/>
    </xf>
    <xf numFmtId="167" fontId="2" fillId="0" borderId="32" xfId="0" applyNumberFormat="1" applyFont="1" applyBorder="1" applyAlignment="1">
      <alignment horizontal="center"/>
    </xf>
    <xf numFmtId="0" fontId="2" fillId="2" borderId="31" xfId="0" applyFont="1" applyFill="1" applyBorder="1" applyAlignment="1">
      <alignment horizontal="right"/>
    </xf>
    <xf numFmtId="167" fontId="2" fillId="2" borderId="32" xfId="0" applyNumberFormat="1" applyFont="1" applyFill="1" applyBorder="1" applyAlignment="1">
      <alignment horizontal="right"/>
    </xf>
    <xf numFmtId="9" fontId="2" fillId="0" borderId="32" xfId="0" applyNumberFormat="1" applyFont="1" applyBorder="1" applyAlignment="1">
      <alignment horizontal="center"/>
    </xf>
    <xf numFmtId="0" fontId="2" fillId="2" borderId="28" xfId="0" applyFont="1" applyFill="1" applyBorder="1"/>
    <xf numFmtId="0" fontId="2" fillId="2" borderId="27" xfId="0" applyFont="1" applyFill="1" applyBorder="1" applyAlignment="1">
      <alignment horizontal="right"/>
    </xf>
    <xf numFmtId="167" fontId="2" fillId="0" borderId="27" xfId="0" applyNumberFormat="1" applyFont="1" applyBorder="1" applyAlignment="1">
      <alignment horizontal="center"/>
    </xf>
    <xf numFmtId="0" fontId="2" fillId="2" borderId="29" xfId="0" applyFont="1" applyFill="1" applyBorder="1" applyAlignment="1">
      <alignment horizontal="right"/>
    </xf>
    <xf numFmtId="167" fontId="2" fillId="2" borderId="27" xfId="0" applyNumberFormat="1" applyFont="1" applyFill="1" applyBorder="1" applyAlignment="1">
      <alignment horizontal="right"/>
    </xf>
    <xf numFmtId="9" fontId="2" fillId="0" borderId="27" xfId="0" applyNumberFormat="1" applyFont="1" applyBorder="1" applyAlignment="1">
      <alignment horizontal="center"/>
    </xf>
    <xf numFmtId="0" fontId="4" fillId="0" borderId="30" xfId="2" applyFont="1" applyBorder="1" applyAlignment="1">
      <alignment vertical="center"/>
    </xf>
    <xf numFmtId="0" fontId="4" fillId="0" borderId="31" xfId="2" applyFont="1" applyBorder="1" applyAlignment="1">
      <alignment horizont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/>
    </xf>
    <xf numFmtId="0" fontId="2" fillId="0" borderId="29" xfId="0" applyFont="1" applyBorder="1"/>
    <xf numFmtId="0" fontId="5" fillId="0" borderId="29" xfId="0" applyFont="1" applyBorder="1" applyAlignment="1">
      <alignment horizontal="right"/>
    </xf>
    <xf numFmtId="1" fontId="5" fillId="0" borderId="29" xfId="2" applyNumberFormat="1" applyFont="1" applyBorder="1" applyAlignment="1">
      <alignment horizontal="center" vertical="center" wrapText="1"/>
    </xf>
    <xf numFmtId="9" fontId="2" fillId="0" borderId="28" xfId="4" applyFont="1" applyBorder="1" applyAlignment="1">
      <alignment horizontal="center"/>
    </xf>
    <xf numFmtId="171" fontId="13" fillId="0" borderId="30" xfId="1" applyNumberFormat="1" applyFont="1" applyBorder="1"/>
    <xf numFmtId="171" fontId="13" fillId="0" borderId="28" xfId="1" applyNumberFormat="1" applyFont="1" applyBorder="1"/>
    <xf numFmtId="2" fontId="2" fillId="0" borderId="32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168" fontId="52" fillId="0" borderId="4" xfId="0" applyNumberFormat="1" applyFont="1" applyBorder="1" applyAlignment="1">
      <alignment horizontal="center"/>
    </xf>
    <xf numFmtId="9" fontId="52" fillId="0" borderId="4" xfId="4" applyFont="1" applyFill="1" applyBorder="1" applyAlignment="1">
      <alignment horizontal="center"/>
    </xf>
    <xf numFmtId="9" fontId="13" fillId="0" borderId="4" xfId="4" applyFont="1" applyFill="1" applyBorder="1" applyAlignment="1">
      <alignment horizontal="center"/>
    </xf>
    <xf numFmtId="172" fontId="13" fillId="0" borderId="5" xfId="0" applyNumberFormat="1" applyFont="1" applyBorder="1" applyAlignment="1">
      <alignment horizontal="center"/>
    </xf>
    <xf numFmtId="182" fontId="2" fillId="0" borderId="4" xfId="0" applyNumberFormat="1" applyFont="1" applyBorder="1" applyAlignment="1">
      <alignment horizontal="center"/>
    </xf>
    <xf numFmtId="171" fontId="2" fillId="0" borderId="5" xfId="1" applyNumberFormat="1" applyFont="1" applyFill="1" applyBorder="1"/>
    <xf numFmtId="171" fontId="13" fillId="0" borderId="5" xfId="1" applyNumberFormat="1" applyFont="1" applyFill="1" applyBorder="1" applyAlignment="1">
      <alignment horizontal="center"/>
    </xf>
    <xf numFmtId="169" fontId="2" fillId="0" borderId="5" xfId="0" applyNumberFormat="1" applyFont="1" applyBorder="1" applyAlignment="1">
      <alignment horizontal="center"/>
    </xf>
    <xf numFmtId="171" fontId="13" fillId="0" borderId="2" xfId="1" applyNumberFormat="1" applyFont="1" applyFill="1" applyBorder="1"/>
    <xf numFmtId="9" fontId="2" fillId="0" borderId="34" xfId="4" applyFont="1" applyBorder="1" applyAlignment="1">
      <alignment horizontal="center"/>
    </xf>
    <xf numFmtId="9" fontId="2" fillId="0" borderId="0" xfId="4" applyFont="1" applyAlignment="1">
      <alignment horizontal="center"/>
    </xf>
    <xf numFmtId="3" fontId="41" fillId="0" borderId="4" xfId="0" applyNumberFormat="1" applyFont="1" applyBorder="1" applyAlignment="1">
      <alignment horizontal="center"/>
    </xf>
    <xf numFmtId="1" fontId="53" fillId="0" borderId="4" xfId="0" applyNumberFormat="1" applyFont="1" applyBorder="1" applyAlignment="1">
      <alignment horizontal="center"/>
    </xf>
    <xf numFmtId="182" fontId="2" fillId="0" borderId="5" xfId="0" applyNumberFormat="1" applyFont="1" applyBorder="1" applyAlignment="1">
      <alignment horizontal="center"/>
    </xf>
    <xf numFmtId="172" fontId="53" fillId="0" borderId="4" xfId="0" applyNumberFormat="1" applyFont="1" applyBorder="1" applyAlignment="1">
      <alignment horizontal="center"/>
    </xf>
    <xf numFmtId="183" fontId="2" fillId="0" borderId="4" xfId="2" applyNumberFormat="1" applyFont="1" applyBorder="1" applyAlignment="1">
      <alignment horizontal="center" vertical="center" wrapText="1"/>
    </xf>
    <xf numFmtId="0" fontId="55" fillId="0" borderId="0" xfId="3" applyFont="1" applyAlignment="1">
      <alignment horizontal="right"/>
    </xf>
    <xf numFmtId="2" fontId="41" fillId="0" borderId="4" xfId="0" applyNumberFormat="1" applyFont="1" applyBorder="1" applyAlignment="1">
      <alignment horizontal="center"/>
    </xf>
    <xf numFmtId="11" fontId="2" fillId="0" borderId="5" xfId="0" applyNumberFormat="1" applyFont="1" applyBorder="1" applyAlignment="1">
      <alignment horizontal="center"/>
    </xf>
    <xf numFmtId="172" fontId="54" fillId="0" borderId="4" xfId="0" applyNumberFormat="1" applyFont="1" applyBorder="1" applyAlignment="1">
      <alignment horizontal="center"/>
    </xf>
    <xf numFmtId="1" fontId="56" fillId="0" borderId="4" xfId="2" applyNumberFormat="1" applyFont="1" applyBorder="1" applyAlignment="1">
      <alignment horizontal="center" vertical="center" wrapText="1"/>
    </xf>
    <xf numFmtId="180" fontId="56" fillId="0" borderId="4" xfId="2" applyNumberFormat="1" applyFont="1" applyBorder="1" applyAlignment="1">
      <alignment horizontal="center" vertical="center" wrapText="1"/>
    </xf>
    <xf numFmtId="2" fontId="56" fillId="0" borderId="4" xfId="2" applyNumberFormat="1" applyFont="1" applyBorder="1" applyAlignment="1">
      <alignment horizontal="center" vertical="center" wrapText="1"/>
    </xf>
    <xf numFmtId="167" fontId="56" fillId="0" borderId="4" xfId="2" applyNumberFormat="1" applyFont="1" applyBorder="1" applyAlignment="1">
      <alignment horizontal="center" vertical="center" wrapText="1"/>
    </xf>
    <xf numFmtId="182" fontId="56" fillId="0" borderId="4" xfId="2" applyNumberFormat="1" applyFont="1" applyBorder="1" applyAlignment="1">
      <alignment horizontal="center" vertical="center" wrapText="1"/>
    </xf>
    <xf numFmtId="180" fontId="56" fillId="0" borderId="5" xfId="2" applyNumberFormat="1" applyFont="1" applyBorder="1" applyAlignment="1">
      <alignment horizontal="center" vertical="center" wrapText="1"/>
    </xf>
    <xf numFmtId="180" fontId="2" fillId="0" borderId="5" xfId="0" applyNumberFormat="1" applyFont="1" applyBorder="1" applyAlignment="1">
      <alignment horizontal="center"/>
    </xf>
    <xf numFmtId="182" fontId="2" fillId="0" borderId="3" xfId="2" applyNumberFormat="1" applyFont="1" applyBorder="1" applyAlignment="1">
      <alignment horizontal="center" vertical="center" wrapText="1"/>
    </xf>
    <xf numFmtId="183" fontId="2" fillId="0" borderId="3" xfId="2" applyNumberFormat="1" applyFont="1" applyBorder="1" applyAlignment="1">
      <alignment horizontal="center" vertical="center" wrapText="1"/>
    </xf>
    <xf numFmtId="1" fontId="5" fillId="0" borderId="3" xfId="4" applyNumberFormat="1" applyFont="1" applyFill="1" applyBorder="1" applyAlignment="1">
      <alignment horizontal="center" vertical="center"/>
    </xf>
    <xf numFmtId="2" fontId="0" fillId="0" borderId="4" xfId="0" applyNumberFormat="1" applyBorder="1"/>
    <xf numFmtId="3" fontId="5" fillId="0" borderId="3" xfId="2" applyNumberFormat="1" applyFont="1" applyBorder="1" applyAlignment="1">
      <alignment horizontal="center" vertical="center" wrapText="1"/>
    </xf>
    <xf numFmtId="167" fontId="5" fillId="0" borderId="4" xfId="2" applyNumberFormat="1" applyFont="1" applyBorder="1" applyAlignment="1">
      <alignment horizontal="center" vertical="center" wrapText="1"/>
    </xf>
    <xf numFmtId="182" fontId="5" fillId="0" borderId="4" xfId="2" applyNumberFormat="1" applyFont="1" applyBorder="1" applyAlignment="1">
      <alignment horizontal="center" vertical="center" wrapText="1"/>
    </xf>
    <xf numFmtId="184" fontId="2" fillId="0" borderId="4" xfId="2" applyNumberFormat="1" applyFont="1" applyBorder="1" applyAlignment="1">
      <alignment horizontal="center" vertical="center" wrapText="1"/>
    </xf>
    <xf numFmtId="3" fontId="41" fillId="11" borderId="14" xfId="0" applyNumberFormat="1" applyFont="1" applyFill="1" applyBorder="1"/>
    <xf numFmtId="9" fontId="2" fillId="0" borderId="0" xfId="4" applyFont="1" applyFill="1" applyAlignment="1">
      <alignment horizontal="center"/>
    </xf>
    <xf numFmtId="0" fontId="56" fillId="0" borderId="0" xfId="85" applyFont="1" applyAlignment="1">
      <alignment horizontal="right"/>
    </xf>
    <xf numFmtId="0" fontId="56" fillId="0" borderId="0" xfId="3" applyFont="1" applyAlignment="1">
      <alignment horizontal="center"/>
    </xf>
    <xf numFmtId="3" fontId="56" fillId="0" borderId="4" xfId="0" applyNumberFormat="1" applyFont="1" applyBorder="1" applyAlignment="1">
      <alignment horizontal="center"/>
    </xf>
    <xf numFmtId="170" fontId="56" fillId="0" borderId="4" xfId="0" applyNumberFormat="1" applyFont="1" applyBorder="1" applyAlignment="1">
      <alignment horizontal="center"/>
    </xf>
    <xf numFmtId="170" fontId="56" fillId="0" borderId="35" xfId="0" applyNumberFormat="1" applyFont="1" applyBorder="1" applyAlignment="1">
      <alignment horizontal="center"/>
    </xf>
    <xf numFmtId="169" fontId="10" fillId="0" borderId="26" xfId="0" applyNumberFormat="1" applyFont="1" applyBorder="1" applyAlignment="1">
      <alignment horizontal="center"/>
    </xf>
    <xf numFmtId="0" fontId="0" fillId="0" borderId="4" xfId="0" applyBorder="1"/>
    <xf numFmtId="0" fontId="0" fillId="0" borderId="35" xfId="0" applyBorder="1"/>
    <xf numFmtId="171" fontId="2" fillId="0" borderId="26" xfId="1" applyNumberFormat="1" applyFont="1" applyFill="1" applyBorder="1" applyAlignment="1">
      <alignment horizontal="left"/>
    </xf>
    <xf numFmtId="3" fontId="56" fillId="0" borderId="26" xfId="0" applyNumberFormat="1" applyFont="1" applyBorder="1" applyAlignment="1">
      <alignment horizontal="center"/>
    </xf>
    <xf numFmtId="168" fontId="56" fillId="0" borderId="35" xfId="0" applyNumberFormat="1" applyFont="1" applyBorder="1" applyAlignment="1">
      <alignment horizontal="center"/>
    </xf>
    <xf numFmtId="168" fontId="56" fillId="0" borderId="4" xfId="0" applyNumberFormat="1" applyFont="1" applyBorder="1" applyAlignment="1">
      <alignment horizontal="center"/>
    </xf>
    <xf numFmtId="170" fontId="0" fillId="0" borderId="0" xfId="0" applyNumberFormat="1"/>
    <xf numFmtId="165" fontId="0" fillId="0" borderId="0" xfId="0" applyNumberFormat="1"/>
    <xf numFmtId="9" fontId="0" fillId="0" borderId="0" xfId="4" applyFont="1"/>
    <xf numFmtId="3" fontId="56" fillId="12" borderId="26" xfId="0" applyNumberFormat="1" applyFont="1" applyFill="1" applyBorder="1" applyAlignment="1">
      <alignment horizontal="center"/>
    </xf>
    <xf numFmtId="0" fontId="2" fillId="12" borderId="0" xfId="3" applyFont="1" applyFill="1" applyAlignment="1">
      <alignment horizontal="center"/>
    </xf>
    <xf numFmtId="11" fontId="2" fillId="12" borderId="4" xfId="0" applyNumberFormat="1" applyFont="1" applyFill="1" applyBorder="1" applyAlignment="1">
      <alignment horizontal="center"/>
    </xf>
    <xf numFmtId="172" fontId="13" fillId="12" borderId="4" xfId="0" applyNumberFormat="1" applyFont="1" applyFill="1" applyBorder="1" applyAlignment="1">
      <alignment horizontal="center"/>
    </xf>
    <xf numFmtId="167" fontId="2" fillId="12" borderId="4" xfId="0" applyNumberFormat="1" applyFont="1" applyFill="1" applyBorder="1" applyAlignment="1">
      <alignment horizontal="center"/>
    </xf>
    <xf numFmtId="170" fontId="2" fillId="12" borderId="4" xfId="0" applyNumberFormat="1" applyFont="1" applyFill="1" applyBorder="1" applyAlignment="1">
      <alignment horizontal="center"/>
    </xf>
    <xf numFmtId="180" fontId="2" fillId="12" borderId="4" xfId="2" applyNumberFormat="1" applyFont="1" applyFill="1" applyBorder="1" applyAlignment="1">
      <alignment horizontal="center" vertical="center" wrapText="1"/>
    </xf>
    <xf numFmtId="172" fontId="2" fillId="12" borderId="4" xfId="0" applyNumberFormat="1" applyFont="1" applyFill="1" applyBorder="1" applyAlignment="1">
      <alignment horizontal="center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41" fillId="10" borderId="14" xfId="0" applyNumberFormat="1" applyFont="1" applyFill="1" applyBorder="1" applyAlignment="1">
      <alignment horizontal="center"/>
    </xf>
    <xf numFmtId="3" fontId="41" fillId="0" borderId="16" xfId="0" applyNumberFormat="1" applyFont="1" applyBorder="1"/>
    <xf numFmtId="0" fontId="41" fillId="0" borderId="14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3" fontId="41" fillId="10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47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3" fontId="41" fillId="0" borderId="0" xfId="0" applyNumberFormat="1" applyFont="1" applyAlignment="1">
      <alignment horizontal="center"/>
    </xf>
    <xf numFmtId="3" fontId="41" fillId="0" borderId="0" xfId="0" applyNumberFormat="1" applyFont="1"/>
    <xf numFmtId="0" fontId="41" fillId="0" borderId="0" xfId="0" applyFont="1" applyAlignment="1">
      <alignment horizontal="center"/>
    </xf>
    <xf numFmtId="3" fontId="44" fillId="10" borderId="14" xfId="0" applyNumberFormat="1" applyFont="1" applyFill="1" applyBorder="1" applyAlignment="1">
      <alignment horizontal="center"/>
    </xf>
    <xf numFmtId="3" fontId="44" fillId="0" borderId="16" xfId="0" applyNumberFormat="1" applyFont="1" applyBorder="1"/>
    <xf numFmtId="0" fontId="4" fillId="2" borderId="30" xfId="2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" vertical="center" wrapText="1"/>
    </xf>
    <xf numFmtId="0" fontId="4" fillId="2" borderId="32" xfId="2" applyFont="1" applyFill="1" applyBorder="1" applyAlignment="1">
      <alignment horizontal="center" vertical="center" wrapText="1"/>
    </xf>
    <xf numFmtId="180" fontId="2" fillId="0" borderId="4" xfId="2" applyNumberFormat="1" applyFont="1" applyBorder="1" applyAlignment="1">
      <alignment horizontal="center" vertical="center" wrapText="1"/>
    </xf>
    <xf numFmtId="167" fontId="2" fillId="2" borderId="30" xfId="0" applyNumberFormat="1" applyFont="1" applyFill="1" applyBorder="1" applyAlignment="1">
      <alignment horizontal="right"/>
    </xf>
    <xf numFmtId="167" fontId="2" fillId="2" borderId="32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172" fontId="2" fillId="0" borderId="4" xfId="0" applyNumberFormat="1" applyFont="1" applyBorder="1" applyAlignment="1">
      <alignment horizontal="center" vertical="center"/>
    </xf>
  </cellXfs>
  <cellStyles count="161">
    <cellStyle name="2x indented GHG Textfiels" xfId="5" xr:uid="{00000000-0005-0000-0000-000000000000}"/>
    <cellStyle name="5x indented GHG Textfiels" xfId="6" xr:uid="{00000000-0005-0000-0000-000001000000}"/>
    <cellStyle name="Bold GHG Numbers (0.00)" xfId="7" xr:uid="{00000000-0005-0000-0000-000002000000}"/>
    <cellStyle name="Column heading" xfId="8" xr:uid="{00000000-0005-0000-0000-000003000000}"/>
    <cellStyle name="Comma" xfId="1" builtinId="3"/>
    <cellStyle name="Comma 2" xfId="9" xr:uid="{00000000-0005-0000-0000-000005000000}"/>
    <cellStyle name="Comma 2 2" xfId="10" xr:uid="{00000000-0005-0000-0000-000006000000}"/>
    <cellStyle name="Comma 3" xfId="11" xr:uid="{00000000-0005-0000-0000-000007000000}"/>
    <cellStyle name="Comma 3 2" xfId="12" xr:uid="{00000000-0005-0000-0000-000008000000}"/>
    <cellStyle name="Comma 3 3" xfId="13" xr:uid="{00000000-0005-0000-0000-000009000000}"/>
    <cellStyle name="Comma 4" xfId="14" xr:uid="{00000000-0005-0000-0000-00000A000000}"/>
    <cellStyle name="Comma 4 2" xfId="15" xr:uid="{00000000-0005-0000-0000-00000B000000}"/>
    <cellStyle name="Comma 4 3" xfId="16" xr:uid="{00000000-0005-0000-0000-00000C000000}"/>
    <cellStyle name="Comma 5" xfId="17" xr:uid="{00000000-0005-0000-0000-00000D000000}"/>
    <cellStyle name="Comma 6" xfId="18" xr:uid="{00000000-0005-0000-0000-00000E000000}"/>
    <cellStyle name="Comma 8" xfId="19" xr:uid="{00000000-0005-0000-0000-00000F000000}"/>
    <cellStyle name="Comma 9" xfId="20" xr:uid="{00000000-0005-0000-0000-000010000000}"/>
    <cellStyle name="Comma0" xfId="21" xr:uid="{00000000-0005-0000-0000-000011000000}"/>
    <cellStyle name="Comma0 2" xfId="22" xr:uid="{00000000-0005-0000-0000-000012000000}"/>
    <cellStyle name="Corner heading" xfId="23" xr:uid="{00000000-0005-0000-0000-000013000000}"/>
    <cellStyle name="Currency0" xfId="24" xr:uid="{00000000-0005-0000-0000-000014000000}"/>
    <cellStyle name="Currency0 2" xfId="25" xr:uid="{00000000-0005-0000-0000-000015000000}"/>
    <cellStyle name="Data" xfId="26" xr:uid="{00000000-0005-0000-0000-000016000000}"/>
    <cellStyle name="Data no deci" xfId="27" xr:uid="{00000000-0005-0000-0000-000017000000}"/>
    <cellStyle name="Data Superscript" xfId="28" xr:uid="{00000000-0005-0000-0000-000018000000}"/>
    <cellStyle name="Data_1-1A-Regular" xfId="29" xr:uid="{00000000-0005-0000-0000-000019000000}"/>
    <cellStyle name="Data-one deci" xfId="30" xr:uid="{00000000-0005-0000-0000-00001A000000}"/>
    <cellStyle name="Date" xfId="31" xr:uid="{00000000-0005-0000-0000-00001B000000}"/>
    <cellStyle name="Date 2" xfId="32" xr:uid="{00000000-0005-0000-0000-00001C000000}"/>
    <cellStyle name="Euro" xfId="33" xr:uid="{00000000-0005-0000-0000-00001D000000}"/>
    <cellStyle name="Euro 2" xfId="34" xr:uid="{00000000-0005-0000-0000-00001E000000}"/>
    <cellStyle name="Excel Built-in Input" xfId="35" xr:uid="{00000000-0005-0000-0000-00001F000000}"/>
    <cellStyle name="Excel Built-in Normal" xfId="36" xr:uid="{00000000-0005-0000-0000-000020000000}"/>
    <cellStyle name="Fixed" xfId="37" xr:uid="{00000000-0005-0000-0000-000021000000}"/>
    <cellStyle name="Fixed 2" xfId="38" xr:uid="{00000000-0005-0000-0000-000022000000}"/>
    <cellStyle name="Headline" xfId="39" xr:uid="{00000000-0005-0000-0000-000023000000}"/>
    <cellStyle name="Hed Side" xfId="40" xr:uid="{00000000-0005-0000-0000-000024000000}"/>
    <cellStyle name="Hed Side bold" xfId="41" xr:uid="{00000000-0005-0000-0000-000025000000}"/>
    <cellStyle name="Hed Side Indent" xfId="42" xr:uid="{00000000-0005-0000-0000-000026000000}"/>
    <cellStyle name="Hed Side Regular" xfId="43" xr:uid="{00000000-0005-0000-0000-000027000000}"/>
    <cellStyle name="Hed Side_1-1A-Regular" xfId="44" xr:uid="{00000000-0005-0000-0000-000028000000}"/>
    <cellStyle name="Hed Top" xfId="45" xr:uid="{00000000-0005-0000-0000-000029000000}"/>
    <cellStyle name="Hed Top - SECTION" xfId="46" xr:uid="{00000000-0005-0000-0000-00002A000000}"/>
    <cellStyle name="Hed Top_3-new4" xfId="47" xr:uid="{00000000-0005-0000-0000-00002B000000}"/>
    <cellStyle name="Hyperlink 2" xfId="48" xr:uid="{00000000-0005-0000-0000-00002D000000}"/>
    <cellStyle name="Hyperlink 3" xfId="49" xr:uid="{00000000-0005-0000-0000-00002E000000}"/>
    <cellStyle name="Hyperlink 4" xfId="50" xr:uid="{00000000-0005-0000-0000-00002F000000}"/>
    <cellStyle name="Hyperlink 4 2" xfId="51" xr:uid="{00000000-0005-0000-0000-000030000000}"/>
    <cellStyle name="Hyperlink 4 2 2" xfId="52" xr:uid="{00000000-0005-0000-0000-000031000000}"/>
    <cellStyle name="Hyperlink 4 3" xfId="53" xr:uid="{00000000-0005-0000-0000-000032000000}"/>
    <cellStyle name="Hyperlink 4 4" xfId="54" xr:uid="{00000000-0005-0000-0000-000033000000}"/>
    <cellStyle name="Hyperlink 4 4 2" xfId="55" xr:uid="{00000000-0005-0000-0000-000034000000}"/>
    <cellStyle name="Milliers [0]_Annex_comb_guideline_version4-2" xfId="56" xr:uid="{00000000-0005-0000-0000-000035000000}"/>
    <cellStyle name="Milliers_Annex_comb_guideline_version4-2" xfId="57" xr:uid="{00000000-0005-0000-0000-000036000000}"/>
    <cellStyle name="Monétaire [0]_Annex comb guideline 4-7" xfId="58" xr:uid="{00000000-0005-0000-0000-000037000000}"/>
    <cellStyle name="Monétaire_Annex_comb_guideline_version4-2" xfId="59" xr:uid="{00000000-0005-0000-0000-000038000000}"/>
    <cellStyle name="Normal" xfId="0" builtinId="0"/>
    <cellStyle name="Normal 12" xfId="60" xr:uid="{00000000-0005-0000-0000-00003A000000}"/>
    <cellStyle name="Normal 2" xfId="2" xr:uid="{00000000-0005-0000-0000-00003B000000}"/>
    <cellStyle name="Normal 2 10" xfId="61" xr:uid="{00000000-0005-0000-0000-00003C000000}"/>
    <cellStyle name="Normal 2 11" xfId="62" xr:uid="{00000000-0005-0000-0000-00003D000000}"/>
    <cellStyle name="Normal 2 12" xfId="63" xr:uid="{00000000-0005-0000-0000-00003E000000}"/>
    <cellStyle name="Normal 2 2" xfId="64" xr:uid="{00000000-0005-0000-0000-00003F000000}"/>
    <cellStyle name="Normal 2 2 2" xfId="65" xr:uid="{00000000-0005-0000-0000-000040000000}"/>
    <cellStyle name="Normal 2 2 3" xfId="66" xr:uid="{00000000-0005-0000-0000-000041000000}"/>
    <cellStyle name="Normal 2 3" xfId="67" xr:uid="{00000000-0005-0000-0000-000042000000}"/>
    <cellStyle name="Normal 2 3 2" xfId="68" xr:uid="{00000000-0005-0000-0000-000043000000}"/>
    <cellStyle name="Normal 2 3 3" xfId="69" xr:uid="{00000000-0005-0000-0000-000044000000}"/>
    <cellStyle name="Normal 2 4" xfId="70" xr:uid="{00000000-0005-0000-0000-000045000000}"/>
    <cellStyle name="Normal 2 4 2" xfId="71" xr:uid="{00000000-0005-0000-0000-000046000000}"/>
    <cellStyle name="Normal 2 4 3" xfId="72" xr:uid="{00000000-0005-0000-0000-000047000000}"/>
    <cellStyle name="Normal 2 5" xfId="73" xr:uid="{00000000-0005-0000-0000-000048000000}"/>
    <cellStyle name="Normal 2 5 2" xfId="74" xr:uid="{00000000-0005-0000-0000-000049000000}"/>
    <cellStyle name="Normal 2 5 3" xfId="75" xr:uid="{00000000-0005-0000-0000-00004A000000}"/>
    <cellStyle name="Normal 2 6" xfId="76" xr:uid="{00000000-0005-0000-0000-00004B000000}"/>
    <cellStyle name="Normal 2 6 2" xfId="77" xr:uid="{00000000-0005-0000-0000-00004C000000}"/>
    <cellStyle name="Normal 2 6 3" xfId="78" xr:uid="{00000000-0005-0000-0000-00004D000000}"/>
    <cellStyle name="Normal 2 7" xfId="79" xr:uid="{00000000-0005-0000-0000-00004E000000}"/>
    <cellStyle name="Normal 2 7 2" xfId="80" xr:uid="{00000000-0005-0000-0000-00004F000000}"/>
    <cellStyle name="Normal 2 7 3" xfId="81" xr:uid="{00000000-0005-0000-0000-000050000000}"/>
    <cellStyle name="Normal 2 8" xfId="82" xr:uid="{00000000-0005-0000-0000-000051000000}"/>
    <cellStyle name="Normal 2 8 2" xfId="83" xr:uid="{00000000-0005-0000-0000-000052000000}"/>
    <cellStyle name="Normal 2 9" xfId="84" xr:uid="{00000000-0005-0000-0000-000053000000}"/>
    <cellStyle name="Normal 3" xfId="85" xr:uid="{00000000-0005-0000-0000-000054000000}"/>
    <cellStyle name="Normal 3 2" xfId="3" xr:uid="{00000000-0005-0000-0000-000055000000}"/>
    <cellStyle name="Normal 3 2 2" xfId="86" xr:uid="{00000000-0005-0000-0000-000056000000}"/>
    <cellStyle name="Normal 3 2 2 2" xfId="87" xr:uid="{00000000-0005-0000-0000-000057000000}"/>
    <cellStyle name="Normal 3 3" xfId="88" xr:uid="{00000000-0005-0000-0000-000058000000}"/>
    <cellStyle name="Normal 3 3 2" xfId="89" xr:uid="{00000000-0005-0000-0000-000059000000}"/>
    <cellStyle name="Normal 3 4" xfId="90" xr:uid="{00000000-0005-0000-0000-00005A000000}"/>
    <cellStyle name="Normal 3 4 2" xfId="91" xr:uid="{00000000-0005-0000-0000-00005B000000}"/>
    <cellStyle name="Normal 3 5" xfId="92" xr:uid="{00000000-0005-0000-0000-00005C000000}"/>
    <cellStyle name="Normal 4" xfId="93" xr:uid="{00000000-0005-0000-0000-00005D000000}"/>
    <cellStyle name="Normal 4 10" xfId="94" xr:uid="{00000000-0005-0000-0000-00005E000000}"/>
    <cellStyle name="Normal 4 11" xfId="95" xr:uid="{00000000-0005-0000-0000-00005F000000}"/>
    <cellStyle name="Normal 4 12" xfId="96" xr:uid="{00000000-0005-0000-0000-000060000000}"/>
    <cellStyle name="Normal 4 2" xfId="97" xr:uid="{00000000-0005-0000-0000-000061000000}"/>
    <cellStyle name="Normal 4 3" xfId="98" xr:uid="{00000000-0005-0000-0000-000062000000}"/>
    <cellStyle name="Normal 4 4" xfId="99" xr:uid="{00000000-0005-0000-0000-000063000000}"/>
    <cellStyle name="Normal 4 5" xfId="100" xr:uid="{00000000-0005-0000-0000-000064000000}"/>
    <cellStyle name="Normal 4 6" xfId="101" xr:uid="{00000000-0005-0000-0000-000065000000}"/>
    <cellStyle name="Normal 4 7" xfId="102" xr:uid="{00000000-0005-0000-0000-000066000000}"/>
    <cellStyle name="Normal 4 8" xfId="103" xr:uid="{00000000-0005-0000-0000-000067000000}"/>
    <cellStyle name="Normal 4 9" xfId="104" xr:uid="{00000000-0005-0000-0000-000068000000}"/>
    <cellStyle name="Normal 5" xfId="105" xr:uid="{00000000-0005-0000-0000-000069000000}"/>
    <cellStyle name="Normal 5 2" xfId="106" xr:uid="{00000000-0005-0000-0000-00006A000000}"/>
    <cellStyle name="Normal 5 3" xfId="107" xr:uid="{00000000-0005-0000-0000-00006B000000}"/>
    <cellStyle name="Normal 8" xfId="108" xr:uid="{00000000-0005-0000-0000-00006C000000}"/>
    <cellStyle name="Normal 9" xfId="109" xr:uid="{00000000-0005-0000-0000-00006D000000}"/>
    <cellStyle name="Normal GHG Numbers (0.00)" xfId="110" xr:uid="{00000000-0005-0000-0000-00006E000000}"/>
    <cellStyle name="Normal GHG Textfiels Bold" xfId="111" xr:uid="{00000000-0005-0000-0000-00006F000000}"/>
    <cellStyle name="Normal GHG whole table" xfId="112" xr:uid="{00000000-0005-0000-0000-000070000000}"/>
    <cellStyle name="Normal GHG-Shade" xfId="113" xr:uid="{00000000-0005-0000-0000-000071000000}"/>
    <cellStyle name="Note 2" xfId="114" xr:uid="{00000000-0005-0000-0000-000072000000}"/>
    <cellStyle name="Note 2 2" xfId="115" xr:uid="{00000000-0005-0000-0000-000073000000}"/>
    <cellStyle name="Note 3" xfId="116" xr:uid="{00000000-0005-0000-0000-000074000000}"/>
    <cellStyle name="Note 3 2" xfId="117" xr:uid="{00000000-0005-0000-0000-000075000000}"/>
    <cellStyle name="Pattern" xfId="118" xr:uid="{00000000-0005-0000-0000-000076000000}"/>
    <cellStyle name="Per cent" xfId="4" builtinId="5"/>
    <cellStyle name="Percent 2" xfId="119" xr:uid="{00000000-0005-0000-0000-000078000000}"/>
    <cellStyle name="Percent 2 2" xfId="120" xr:uid="{00000000-0005-0000-0000-000079000000}"/>
    <cellStyle name="Percent 2 2 2" xfId="121" xr:uid="{00000000-0005-0000-0000-00007A000000}"/>
    <cellStyle name="Percent 2 3" xfId="122" xr:uid="{00000000-0005-0000-0000-00007B000000}"/>
    <cellStyle name="Percent 2 3 2" xfId="123" xr:uid="{00000000-0005-0000-0000-00007C000000}"/>
    <cellStyle name="Percent 2 4" xfId="124" xr:uid="{00000000-0005-0000-0000-00007D000000}"/>
    <cellStyle name="Percent 2 5" xfId="125" xr:uid="{00000000-0005-0000-0000-00007E000000}"/>
    <cellStyle name="Percent 3" xfId="126" xr:uid="{00000000-0005-0000-0000-00007F000000}"/>
    <cellStyle name="Percent 3 2" xfId="127" xr:uid="{00000000-0005-0000-0000-000080000000}"/>
    <cellStyle name="Percent 4" xfId="128" xr:uid="{00000000-0005-0000-0000-000081000000}"/>
    <cellStyle name="Percent 4 2" xfId="129" xr:uid="{00000000-0005-0000-0000-000082000000}"/>
    <cellStyle name="Percent 5" xfId="130" xr:uid="{00000000-0005-0000-0000-000083000000}"/>
    <cellStyle name="Percent 5 2" xfId="131" xr:uid="{00000000-0005-0000-0000-000084000000}"/>
    <cellStyle name="Percent 5 2 2" xfId="132" xr:uid="{00000000-0005-0000-0000-000085000000}"/>
    <cellStyle name="Percent 6" xfId="133" xr:uid="{00000000-0005-0000-0000-000086000000}"/>
    <cellStyle name="Percent 6 2" xfId="134" xr:uid="{00000000-0005-0000-0000-000087000000}"/>
    <cellStyle name="Percent 7" xfId="135" xr:uid="{00000000-0005-0000-0000-000088000000}"/>
    <cellStyle name="Reference" xfId="136" xr:uid="{00000000-0005-0000-0000-000089000000}"/>
    <cellStyle name="Row heading" xfId="137" xr:uid="{00000000-0005-0000-0000-00008A000000}"/>
    <cellStyle name="Source Hed" xfId="138" xr:uid="{00000000-0005-0000-0000-00008B000000}"/>
    <cellStyle name="Source Letter" xfId="139" xr:uid="{00000000-0005-0000-0000-00008C000000}"/>
    <cellStyle name="Source Superscript" xfId="140" xr:uid="{00000000-0005-0000-0000-00008D000000}"/>
    <cellStyle name="Source Text" xfId="141" xr:uid="{00000000-0005-0000-0000-00008E000000}"/>
    <cellStyle name="Standard_CRF Inventar" xfId="142" xr:uid="{00000000-0005-0000-0000-00008F000000}"/>
    <cellStyle name="State" xfId="143" xr:uid="{00000000-0005-0000-0000-000090000000}"/>
    <cellStyle name="Superscript" xfId="144" xr:uid="{00000000-0005-0000-0000-000091000000}"/>
    <cellStyle name="Superscript- regular" xfId="145" xr:uid="{00000000-0005-0000-0000-000092000000}"/>
    <cellStyle name="Table Data" xfId="146" xr:uid="{00000000-0005-0000-0000-000094000000}"/>
    <cellStyle name="Table Head Top" xfId="147" xr:uid="{00000000-0005-0000-0000-000095000000}"/>
    <cellStyle name="Table Hed Side" xfId="148" xr:uid="{00000000-0005-0000-0000-000096000000}"/>
    <cellStyle name="Table Title" xfId="149" xr:uid="{00000000-0005-0000-0000-000097000000}"/>
    <cellStyle name="Title Text" xfId="150" xr:uid="{00000000-0005-0000-0000-000098000000}"/>
    <cellStyle name="Title Text 1" xfId="151" xr:uid="{00000000-0005-0000-0000-000099000000}"/>
    <cellStyle name="Title Text 2" xfId="152" xr:uid="{00000000-0005-0000-0000-00009A000000}"/>
    <cellStyle name="Title-1" xfId="153" xr:uid="{00000000-0005-0000-0000-00009B000000}"/>
    <cellStyle name="Title-2" xfId="154" xr:uid="{00000000-0005-0000-0000-00009C000000}"/>
    <cellStyle name="Title-3" xfId="155" xr:uid="{00000000-0005-0000-0000-00009D000000}"/>
    <cellStyle name="Wrap" xfId="156" xr:uid="{00000000-0005-0000-0000-00009E000000}"/>
    <cellStyle name="Wrap Bold" xfId="157" xr:uid="{00000000-0005-0000-0000-00009F000000}"/>
    <cellStyle name="Wrap Title" xfId="158" xr:uid="{00000000-0005-0000-0000-0000A0000000}"/>
    <cellStyle name="Wrap_NTS99-~11" xfId="159" xr:uid="{00000000-0005-0000-0000-0000A1000000}"/>
    <cellStyle name="標準_CRF1999" xfId="160" xr:uid="{00000000-0005-0000-0000-0000A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78921</xdr:colOff>
      <xdr:row>36</xdr:row>
      <xdr:rowOff>53068</xdr:rowOff>
    </xdr:from>
    <xdr:to>
      <xdr:col>7</xdr:col>
      <xdr:colOff>250371</xdr:colOff>
      <xdr:row>37</xdr:row>
      <xdr:rowOff>91168</xdr:rowOff>
    </xdr:to>
    <xdr:sp macro="" textlink="">
      <xdr:nvSpPr>
        <xdr:cNvPr id="2" name="Up Arrow 12">
          <a:extLst>
            <a:ext uri="{FF2B5EF4-FFF2-40B4-BE49-F238E27FC236}">
              <a16:creationId xmlns:a16="http://schemas.microsoft.com/office/drawing/2014/main" id="{10E6FE31-FAB3-4976-8821-261D487F6305}"/>
            </a:ext>
          </a:extLst>
        </xdr:cNvPr>
        <xdr:cNvSpPr>
          <a:spLocks noChangeArrowheads="1"/>
        </xdr:cNvSpPr>
      </xdr:nvSpPr>
      <xdr:spPr bwMode="auto">
        <a:xfrm>
          <a:off x="4936671" y="6366782"/>
          <a:ext cx="171450" cy="214993"/>
        </a:xfrm>
        <a:prstGeom prst="upArrow">
          <a:avLst>
            <a:gd name="adj1" fmla="val 50000"/>
            <a:gd name="adj2" fmla="val 53512"/>
          </a:avLst>
        </a:prstGeom>
        <a:solidFill>
          <a:srgbClr val="00B8FF"/>
        </a:solidFill>
        <a:ln w="9525" algn="ctr">
          <a:solidFill>
            <a:srgbClr val="454545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35</xdr:row>
      <xdr:rowOff>12248</xdr:rowOff>
    </xdr:from>
    <xdr:to>
      <xdr:col>9</xdr:col>
      <xdr:colOff>647700</xdr:colOff>
      <xdr:row>35</xdr:row>
      <xdr:rowOff>170091</xdr:rowOff>
    </xdr:to>
    <xdr:sp macro="" textlink="">
      <xdr:nvSpPr>
        <xdr:cNvPr id="3" name="Right Arrow 15">
          <a:extLst>
            <a:ext uri="{FF2B5EF4-FFF2-40B4-BE49-F238E27FC236}">
              <a16:creationId xmlns:a16="http://schemas.microsoft.com/office/drawing/2014/main" id="{786DA619-3F29-466F-A518-BE79E541F0D8}"/>
            </a:ext>
          </a:extLst>
        </xdr:cNvPr>
        <xdr:cNvSpPr>
          <a:spLocks noChangeArrowheads="1"/>
        </xdr:cNvSpPr>
      </xdr:nvSpPr>
      <xdr:spPr bwMode="auto">
        <a:xfrm>
          <a:off x="6211661" y="6149069"/>
          <a:ext cx="600075" cy="157843"/>
        </a:xfrm>
        <a:prstGeom prst="rightArrow">
          <a:avLst>
            <a:gd name="adj1" fmla="val 50000"/>
            <a:gd name="adj2" fmla="val 47396"/>
          </a:avLst>
        </a:prstGeom>
        <a:solidFill>
          <a:srgbClr val="00B8FF"/>
        </a:solidFill>
        <a:ln w="9525" algn="ctr">
          <a:solidFill>
            <a:srgbClr val="454545"/>
          </a:solidFill>
          <a:round/>
          <a:headEnd/>
          <a:tailEnd/>
        </a:ln>
      </xdr:spPr>
    </xdr:sp>
    <xdr:clientData/>
  </xdr:twoCellAnchor>
  <xdr:twoCellAnchor>
    <xdr:from>
      <xdr:col>9</xdr:col>
      <xdr:colOff>48822</xdr:colOff>
      <xdr:row>36</xdr:row>
      <xdr:rowOff>92049</xdr:rowOff>
    </xdr:from>
    <xdr:to>
      <xdr:col>10</xdr:col>
      <xdr:colOff>911678</xdr:colOff>
      <xdr:row>38</xdr:row>
      <xdr:rowOff>159282</xdr:rowOff>
    </xdr:to>
    <xdr:sp macro="" textlink="">
      <xdr:nvSpPr>
        <xdr:cNvPr id="4" name="Bent Arrow 34">
          <a:extLst>
            <a:ext uri="{FF2B5EF4-FFF2-40B4-BE49-F238E27FC236}">
              <a16:creationId xmlns:a16="http://schemas.microsoft.com/office/drawing/2014/main" id="{A8F3DBAD-7061-41CE-BD83-FCD66BF84D30}"/>
            </a:ext>
          </a:extLst>
        </xdr:cNvPr>
        <xdr:cNvSpPr/>
      </xdr:nvSpPr>
      <xdr:spPr bwMode="auto">
        <a:xfrm rot="10800000">
          <a:off x="6212858" y="6405763"/>
          <a:ext cx="1597641" cy="421019"/>
        </a:xfrm>
        <a:prstGeom prst="bentArrow">
          <a:avLst>
            <a:gd name="adj1" fmla="val 16667"/>
            <a:gd name="adj2" fmla="val 25000"/>
            <a:gd name="adj3" fmla="val 25000"/>
            <a:gd name="adj4" fmla="val 43750"/>
          </a:avLst>
        </a:prstGeom>
        <a:solidFill>
          <a:srgbClr val="00B8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AITeamSite/FoldersDocuments/Environment/Life%20Cycle%20Inventory%20&amp;%20Impact%20Assessment/2019/2019%20LCIs/Regional%20data/LCI%20Survey%20Data%202019_MASTER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line Data"/>
      <sheetName val="Codes"/>
      <sheetName val="Mine 2019"/>
      <sheetName val="Refinery 2019"/>
      <sheetName val="Anodes 2019"/>
      <sheetName val="Electrolysis 2019"/>
      <sheetName val="Electrolysis P"/>
      <sheetName val="Electrolysis S"/>
      <sheetName val="Casting 2019"/>
      <sheetName val="Summary by product"/>
      <sheetName val="Summary by aluminium"/>
    </sheetNames>
    <sheetDataSet>
      <sheetData sheetId="0"/>
      <sheetData sheetId="1"/>
      <sheetData sheetId="2">
        <row r="34">
          <cell r="N34">
            <v>0.46917402991510149</v>
          </cell>
        </row>
      </sheetData>
      <sheetData sheetId="3">
        <row r="40">
          <cell r="AC40">
            <v>4.2820085591688999</v>
          </cell>
        </row>
      </sheetData>
      <sheetData sheetId="4">
        <row r="57">
          <cell r="M57">
            <v>0.49086657360903879</v>
          </cell>
        </row>
      </sheetData>
      <sheetData sheetId="5">
        <row r="79">
          <cell r="AA79">
            <v>5.5677220613442371</v>
          </cell>
        </row>
      </sheetData>
      <sheetData sheetId="6"/>
      <sheetData sheetId="7">
        <row r="72">
          <cell r="AA72">
            <v>7.6696852212321192</v>
          </cell>
        </row>
      </sheetData>
      <sheetData sheetId="8"/>
      <sheetData sheetId="9">
        <row r="4">
          <cell r="C4">
            <v>1.9105311074796041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workbookViewId="0">
      <selection activeCell="O25" sqref="O25"/>
    </sheetView>
  </sheetViews>
  <sheetFormatPr baseColWidth="10" defaultColWidth="8.5" defaultRowHeight="13"/>
  <cols>
    <col min="1" max="16384" width="8.5" style="138"/>
  </cols>
  <sheetData>
    <row r="1" spans="1:17">
      <c r="A1" s="139" t="s">
        <v>0</v>
      </c>
    </row>
    <row r="2" spans="1:17">
      <c r="A2" s="139"/>
    </row>
    <row r="3" spans="1:17">
      <c r="A3" s="139" t="s">
        <v>1</v>
      </c>
    </row>
    <row r="4" spans="1:17">
      <c r="A4" s="138" t="s">
        <v>2</v>
      </c>
    </row>
    <row r="5" spans="1:17">
      <c r="A5" s="137" t="s">
        <v>3</v>
      </c>
    </row>
    <row r="6" spans="1:17" s="25" customFormat="1" ht="15">
      <c r="A6" s="138" t="s">
        <v>225</v>
      </c>
      <c r="B6" s="73"/>
      <c r="C6" s="75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8" spans="1:17">
      <c r="A8" s="139" t="s">
        <v>4</v>
      </c>
      <c r="H8" s="139" t="s">
        <v>5</v>
      </c>
    </row>
    <row r="9" spans="1:17">
      <c r="A9" s="136">
        <v>1</v>
      </c>
      <c r="B9" s="138" t="s">
        <v>6</v>
      </c>
      <c r="H9" s="138" t="s">
        <v>7</v>
      </c>
      <c r="I9" s="138" t="s">
        <v>232</v>
      </c>
    </row>
    <row r="10" spans="1:17">
      <c r="A10" s="139">
        <v>2</v>
      </c>
      <c r="B10" s="138" t="s">
        <v>8</v>
      </c>
      <c r="H10" s="138" t="s">
        <v>9</v>
      </c>
    </row>
    <row r="11" spans="1:17">
      <c r="A11" s="136">
        <v>3</v>
      </c>
      <c r="B11" s="138" t="s">
        <v>10</v>
      </c>
      <c r="H11" s="138" t="s">
        <v>9</v>
      </c>
    </row>
    <row r="12" spans="1:17">
      <c r="A12" s="139">
        <v>4</v>
      </c>
      <c r="B12" s="138" t="s">
        <v>11</v>
      </c>
      <c r="C12" s="139"/>
      <c r="D12" s="139"/>
      <c r="H12" s="138" t="s">
        <v>9</v>
      </c>
    </row>
    <row r="13" spans="1:17">
      <c r="A13" s="136">
        <v>5</v>
      </c>
      <c r="B13" s="138" t="s">
        <v>12</v>
      </c>
      <c r="H13" s="138" t="s">
        <v>226</v>
      </c>
    </row>
    <row r="14" spans="1:17">
      <c r="A14" s="139">
        <v>6</v>
      </c>
      <c r="B14" s="138" t="s">
        <v>13</v>
      </c>
      <c r="H14" s="138" t="s">
        <v>7</v>
      </c>
      <c r="I14" s="138" t="s">
        <v>232</v>
      </c>
    </row>
    <row r="16" spans="1:17">
      <c r="A16" s="138" t="s">
        <v>14</v>
      </c>
    </row>
    <row r="18" spans="1:7">
      <c r="A18" s="136" t="s">
        <v>15</v>
      </c>
    </row>
    <row r="19" spans="1:7">
      <c r="A19" s="135" t="s">
        <v>16</v>
      </c>
      <c r="B19" s="138" t="s">
        <v>17</v>
      </c>
      <c r="F19" s="139"/>
      <c r="G19" s="139"/>
    </row>
    <row r="20" spans="1:7" ht="14">
      <c r="A20" s="134" t="s">
        <v>18</v>
      </c>
      <c r="B20" s="138" t="s">
        <v>19</v>
      </c>
    </row>
    <row r="21" spans="1:7">
      <c r="A21" s="135" t="s">
        <v>20</v>
      </c>
      <c r="B21" s="138" t="s">
        <v>21</v>
      </c>
    </row>
    <row r="22" spans="1:7" ht="14">
      <c r="A22" s="134" t="s">
        <v>22</v>
      </c>
      <c r="B22" s="138" t="s">
        <v>23</v>
      </c>
    </row>
    <row r="23" spans="1:7">
      <c r="A23" s="135" t="s">
        <v>24</v>
      </c>
      <c r="B23" s="138" t="s">
        <v>25</v>
      </c>
    </row>
    <row r="24" spans="1:7">
      <c r="A24" s="135" t="s">
        <v>26</v>
      </c>
      <c r="B24" s="138" t="s">
        <v>27</v>
      </c>
    </row>
    <row r="25" spans="1:7">
      <c r="A25" s="135" t="s">
        <v>28</v>
      </c>
      <c r="B25" s="138" t="s">
        <v>29</v>
      </c>
    </row>
    <row r="26" spans="1:7">
      <c r="A26" s="135" t="s">
        <v>30</v>
      </c>
      <c r="B26" s="138" t="s">
        <v>31</v>
      </c>
    </row>
    <row r="27" spans="1:7" ht="14">
      <c r="A27" s="134" t="s">
        <v>32</v>
      </c>
      <c r="B27" s="138" t="s">
        <v>33</v>
      </c>
    </row>
    <row r="28" spans="1:7" ht="14">
      <c r="A28" s="134" t="s">
        <v>34</v>
      </c>
      <c r="B28" s="138" t="s">
        <v>35</v>
      </c>
    </row>
    <row r="29" spans="1:7">
      <c r="A29" s="135" t="s">
        <v>36</v>
      </c>
      <c r="B29" s="138" t="s">
        <v>37</v>
      </c>
    </row>
  </sheetData>
  <sortState xmlns:xlrd2="http://schemas.microsoft.com/office/spreadsheetml/2017/richdata2" ref="A15:B25">
    <sortCondition ref="B2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03"/>
  <sheetViews>
    <sheetView zoomScale="70" zoomScaleNormal="70" workbookViewId="0">
      <pane xSplit="2" ySplit="9" topLeftCell="C10" activePane="bottomRight" state="frozen"/>
      <selection pane="topRight" activeCell="J20" sqref="J20"/>
      <selection pane="bottomLeft" activeCell="J20" sqref="J20"/>
      <selection pane="bottomRight" activeCell="G100" sqref="G100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33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25">
        <v>0.54259363922859805</v>
      </c>
      <c r="D4" s="312" t="s">
        <v>176</v>
      </c>
      <c r="E4" s="313"/>
      <c r="F4" s="105">
        <v>50700000</v>
      </c>
      <c r="G4" s="206"/>
      <c r="H4" s="207" t="s">
        <v>177</v>
      </c>
      <c r="I4" s="22">
        <v>5458000</v>
      </c>
      <c r="J4" s="20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2" t="s">
        <v>207</v>
      </c>
      <c r="E5" s="313"/>
      <c r="F5" s="106">
        <v>10689000</v>
      </c>
      <c r="G5" s="212"/>
      <c r="H5" s="213" t="s">
        <v>181</v>
      </c>
      <c r="I5" s="23">
        <v>0</v>
      </c>
      <c r="J5" s="209"/>
      <c r="K5" s="210" t="s">
        <v>178</v>
      </c>
      <c r="L5" s="214">
        <f>I5/(I4+I5)</f>
        <v>0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>
        <v>1.928031824074711</v>
      </c>
      <c r="F9" s="221" t="s">
        <v>208</v>
      </c>
      <c r="G9" s="4">
        <f>C4</f>
        <v>0.54259363922859805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>
      <c r="A11" s="46" t="s">
        <v>98</v>
      </c>
      <c r="B11" s="48" t="s">
        <v>189</v>
      </c>
      <c r="C11" s="314" t="s">
        <v>209</v>
      </c>
      <c r="D11" s="8"/>
      <c r="E11" s="7" t="s">
        <v>100</v>
      </c>
      <c r="F11" s="31"/>
      <c r="G11" s="7"/>
      <c r="H11" s="8"/>
      <c r="I11" s="7">
        <v>0</v>
      </c>
      <c r="J11" s="31">
        <v>6.6295163063393184E-2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>
        <v>35</v>
      </c>
      <c r="F12" s="31">
        <v>0.26713091209510859</v>
      </c>
      <c r="G12" s="7"/>
      <c r="H12" s="8"/>
      <c r="I12" s="7">
        <v>46.079081861016903</v>
      </c>
      <c r="J12" s="31">
        <v>0.20911067607182118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 t="s">
        <v>100</v>
      </c>
      <c r="F13" s="31"/>
      <c r="G13" s="7"/>
      <c r="H13" s="8"/>
      <c r="I13" s="7">
        <v>666.69482628730123</v>
      </c>
      <c r="J13" s="31">
        <v>0.24047033162330525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>
        <v>3154.1278102811839</v>
      </c>
      <c r="F16" s="31">
        <v>0.26713091209510859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>
        <v>85.934698491392467</v>
      </c>
      <c r="F17" s="31">
        <v>0.26713091209510859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>
        <v>78.255821066156116</v>
      </c>
      <c r="F18" s="31">
        <v>8.5119592046460413E-2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6"/>
      <c r="E19" s="7">
        <v>3.4994065903004259</v>
      </c>
      <c r="F19" s="31">
        <v>0.26713091209510859</v>
      </c>
      <c r="G19" s="17">
        <v>0.21322259542329999</v>
      </c>
      <c r="H19" s="31">
        <v>0.18169508994556796</v>
      </c>
      <c r="I19" s="7">
        <v>0.80845875114768784</v>
      </c>
      <c r="J19" s="31">
        <v>0.25516142726273361</v>
      </c>
      <c r="K19" s="7">
        <v>1.0123622270642316</v>
      </c>
      <c r="L19" s="91">
        <v>0.16835230469036278</v>
      </c>
    </row>
    <row r="20" spans="1:12">
      <c r="A20" s="47" t="s">
        <v>109</v>
      </c>
      <c r="B20" s="9" t="s">
        <v>191</v>
      </c>
      <c r="C20" s="314"/>
      <c r="D20" s="31"/>
      <c r="E20" s="7">
        <v>0</v>
      </c>
      <c r="F20" s="31">
        <v>0.20252140699640897</v>
      </c>
      <c r="G20" s="7">
        <v>0</v>
      </c>
      <c r="H20" s="31">
        <v>0.16553062983857753</v>
      </c>
      <c r="I20" s="7">
        <v>0</v>
      </c>
      <c r="J20" s="31">
        <v>0.25516142726273361</v>
      </c>
      <c r="K20" s="7">
        <v>0</v>
      </c>
      <c r="L20" s="91">
        <v>0.16835230469036278</v>
      </c>
    </row>
    <row r="21" spans="1:12">
      <c r="A21" s="47" t="s">
        <v>192</v>
      </c>
      <c r="B21" s="9" t="s">
        <v>190</v>
      </c>
      <c r="C21" s="314"/>
      <c r="D21" s="31"/>
      <c r="E21" s="7"/>
      <c r="F21" s="8"/>
      <c r="G21" s="7">
        <v>991.59290755725397</v>
      </c>
      <c r="H21" s="31">
        <v>0.22272808592891172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160.28643928567718</v>
      </c>
      <c r="H22" s="31">
        <v>0.22272808592891172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17">
        <v>1.1746552663141678</v>
      </c>
      <c r="H23" s="31">
        <v>0.23528811494321186</v>
      </c>
      <c r="I23" s="7">
        <v>7.0097661986527866</v>
      </c>
      <c r="J23" s="31">
        <v>0.22380177171124954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>
        <v>0.47152691355484333</v>
      </c>
      <c r="H24" s="31">
        <v>0.23528811494321186</v>
      </c>
      <c r="I24" s="7">
        <v>4.1426580362583385</v>
      </c>
      <c r="J24" s="31">
        <v>0.25516142726273361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1687.9004204171774</v>
      </c>
      <c r="J25" s="31">
        <v>0.25516142726273361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C4*1000</f>
        <v>542.59363922859802</v>
      </c>
      <c r="J26" s="31">
        <v>0.4819796086801692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5.6940796508395906</v>
      </c>
      <c r="J27" s="31">
        <v>0.25516142726273361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11.32937735843109</v>
      </c>
      <c r="J28" s="31">
        <v>0.25516142726273361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0.2677955143081715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2.4153392791479598</v>
      </c>
      <c r="L30" s="91">
        <v>0.2677955143081715</v>
      </c>
    </row>
    <row r="31" spans="1:12" ht="18.7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3">
        <v>1.5896670930183922E-6</v>
      </c>
      <c r="L31" s="91">
        <v>0.12713889593257605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10">
        <v>4.7452383576927097E-2</v>
      </c>
      <c r="L32" s="91">
        <v>0.12713889593257605</v>
      </c>
    </row>
    <row r="33" spans="1:12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0.11109471816736409</v>
      </c>
      <c r="L33" s="91">
        <v>0.12713889593257605</v>
      </c>
    </row>
    <row r="34" spans="1:12" s="25" customFormat="1">
      <c r="A34" s="47"/>
      <c r="B34" s="9"/>
      <c r="C34" s="314"/>
      <c r="D34" s="37"/>
      <c r="E34" s="7"/>
      <c r="F34" s="8"/>
      <c r="G34" s="10"/>
      <c r="H34" s="6"/>
      <c r="I34" s="10"/>
      <c r="J34" s="6"/>
      <c r="K34" s="10"/>
      <c r="L34" s="91"/>
    </row>
    <row r="35" spans="1:12" s="25" customFormat="1">
      <c r="A35" s="34" t="s">
        <v>120</v>
      </c>
      <c r="B35" s="9"/>
      <c r="C35" s="314"/>
      <c r="D35" s="37"/>
      <c r="E35" s="186"/>
      <c r="F35" s="187"/>
      <c r="G35" s="186"/>
      <c r="H35" s="187"/>
      <c r="I35" s="186"/>
      <c r="J35" s="187"/>
      <c r="K35" s="227"/>
      <c r="L35" s="227"/>
    </row>
    <row r="36" spans="1:12">
      <c r="A36" s="92" t="s">
        <v>121</v>
      </c>
      <c r="B36" s="93" t="s">
        <v>191</v>
      </c>
      <c r="C36" s="314"/>
      <c r="D36" s="31"/>
      <c r="E36" s="17">
        <v>3.4550538219198423</v>
      </c>
      <c r="F36" s="98">
        <v>0.26713091209510859</v>
      </c>
      <c r="G36" s="10">
        <v>0.12545942599555981</v>
      </c>
      <c r="H36" s="98">
        <v>0.18169508994556796</v>
      </c>
      <c r="I36" s="17">
        <v>0.80845875114768784</v>
      </c>
      <c r="J36" s="98">
        <v>0.25516142726273361</v>
      </c>
      <c r="K36" s="7">
        <v>0.97425903059193442</v>
      </c>
      <c r="L36" s="171">
        <v>0.16835230469036278</v>
      </c>
    </row>
    <row r="37" spans="1:12">
      <c r="A37" s="92" t="s">
        <v>122</v>
      </c>
      <c r="B37" s="93" t="s">
        <v>191</v>
      </c>
      <c r="C37" s="314"/>
      <c r="D37" s="31"/>
      <c r="E37" s="7">
        <v>0</v>
      </c>
      <c r="F37" s="98">
        <v>0.20252140699640897</v>
      </c>
      <c r="G37" s="7">
        <v>0</v>
      </c>
      <c r="H37" s="98">
        <v>0.16553062983857753</v>
      </c>
      <c r="I37" s="7">
        <v>0</v>
      </c>
      <c r="J37" s="98">
        <v>0.25516142726273361</v>
      </c>
      <c r="K37" s="7">
        <v>0</v>
      </c>
      <c r="L37" s="171">
        <v>0.16835230469036278</v>
      </c>
    </row>
    <row r="38" spans="1:12">
      <c r="A38" s="47" t="s">
        <v>123</v>
      </c>
      <c r="B38" s="9" t="s">
        <v>210</v>
      </c>
      <c r="C38" s="314"/>
      <c r="D38" s="31"/>
      <c r="E38" s="11" t="s">
        <v>100</v>
      </c>
      <c r="F38" s="98"/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17" t="s">
        <v>100</v>
      </c>
      <c r="F39" s="98"/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6"/>
      <c r="E40" s="17" t="s">
        <v>100</v>
      </c>
      <c r="F40" s="98"/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6"/>
      <c r="E41" s="97" t="s">
        <v>100</v>
      </c>
      <c r="F41" s="98"/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31"/>
      <c r="E42" s="186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31"/>
      <c r="E43" s="186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1996.0804676507466</v>
      </c>
      <c r="F44" s="98">
        <v>0.24670069083386093</v>
      </c>
      <c r="G44" s="7">
        <v>2001.5611061671248</v>
      </c>
      <c r="H44" s="31">
        <v>0.22272808592891172</v>
      </c>
      <c r="I44" s="186"/>
      <c r="J44" s="187"/>
      <c r="K44" s="7">
        <v>343.32157350844091</v>
      </c>
      <c r="L44" s="171">
        <v>0.26561555608171489</v>
      </c>
    </row>
    <row r="45" spans="1:12">
      <c r="A45" s="47" t="s">
        <v>133</v>
      </c>
      <c r="B45" s="9" t="s">
        <v>201</v>
      </c>
      <c r="C45" s="314"/>
      <c r="D45" s="31"/>
      <c r="E45" s="7">
        <v>3.1981711537469701</v>
      </c>
      <c r="F45" s="98">
        <v>0.24670069083386093</v>
      </c>
      <c r="G45" s="7">
        <v>0</v>
      </c>
      <c r="H45" s="31">
        <v>0.22272808592891172</v>
      </c>
      <c r="I45" s="186"/>
      <c r="J45" s="187"/>
      <c r="K45" s="7">
        <v>0</v>
      </c>
      <c r="L45" s="171">
        <v>0.26561555608171489</v>
      </c>
    </row>
    <row r="46" spans="1:12">
      <c r="A46" s="47" t="s">
        <v>134</v>
      </c>
      <c r="B46" s="9" t="s">
        <v>201</v>
      </c>
      <c r="C46" s="314"/>
      <c r="D46" s="31"/>
      <c r="E46" s="7">
        <v>249.00139083561632</v>
      </c>
      <c r="F46" s="98">
        <v>0.24670069083386093</v>
      </c>
      <c r="G46" s="7">
        <v>100.80212876435614</v>
      </c>
      <c r="H46" s="31">
        <v>0.222728085928912</v>
      </c>
      <c r="I46" s="186"/>
      <c r="J46" s="187"/>
      <c r="K46" s="7">
        <v>137.02961168527119</v>
      </c>
      <c r="L46" s="171">
        <v>0.26561555608171489</v>
      </c>
    </row>
    <row r="47" spans="1:12">
      <c r="A47" s="47" t="s">
        <v>135</v>
      </c>
      <c r="B47" s="9" t="s">
        <v>201</v>
      </c>
      <c r="C47" s="314"/>
      <c r="D47" s="6"/>
      <c r="E47" s="7">
        <v>7533.4720899145359</v>
      </c>
      <c r="F47" s="98">
        <v>0.24670069083386093</v>
      </c>
      <c r="G47" s="7">
        <v>0</v>
      </c>
      <c r="H47" s="31">
        <v>0.222728085928912</v>
      </c>
      <c r="I47" s="186"/>
      <c r="J47" s="187"/>
      <c r="K47" s="7">
        <v>0</v>
      </c>
      <c r="L47" s="171">
        <v>0.26561555608171489</v>
      </c>
    </row>
    <row r="48" spans="1:12">
      <c r="A48" s="47" t="s">
        <v>136</v>
      </c>
      <c r="B48" s="9" t="s">
        <v>201</v>
      </c>
      <c r="C48" s="314"/>
      <c r="D48" s="6"/>
      <c r="E48" s="7">
        <v>83.999367174534981</v>
      </c>
      <c r="F48" s="98">
        <v>0.24670069083386093</v>
      </c>
      <c r="G48" s="7">
        <v>701.10461200551413</v>
      </c>
      <c r="H48" s="31">
        <v>0.222728085928912</v>
      </c>
      <c r="I48" s="7">
        <v>53639.861787991329</v>
      </c>
      <c r="J48" s="98">
        <v>1</v>
      </c>
      <c r="K48" s="7">
        <v>710.36379817818352</v>
      </c>
      <c r="L48" s="171">
        <v>0.26561555608171489</v>
      </c>
    </row>
    <row r="49" spans="1:12">
      <c r="A49" s="47" t="s">
        <v>137</v>
      </c>
      <c r="B49" s="9" t="s">
        <v>201</v>
      </c>
      <c r="C49" s="314"/>
      <c r="D49" s="6"/>
      <c r="E49" s="7">
        <v>1413.8316457688261</v>
      </c>
      <c r="F49" s="98">
        <v>0.24670069083386093</v>
      </c>
      <c r="G49" s="7">
        <v>0</v>
      </c>
      <c r="H49" s="31">
        <v>0.222728085928912</v>
      </c>
      <c r="I49" s="186"/>
      <c r="J49" s="187"/>
      <c r="K49" s="7">
        <v>7.5027843202638511</v>
      </c>
      <c r="L49" s="171">
        <v>0.26561555608171489</v>
      </c>
    </row>
    <row r="50" spans="1:12">
      <c r="A50" s="47"/>
      <c r="B50" s="9"/>
      <c r="C50" s="314"/>
      <c r="D50" s="31"/>
      <c r="E50" s="10"/>
      <c r="F50" s="6"/>
      <c r="G50" s="10"/>
      <c r="H50" s="6"/>
      <c r="I50" s="10"/>
      <c r="J50" s="6"/>
      <c r="K50" s="10"/>
      <c r="L50" s="10"/>
    </row>
    <row r="51" spans="1:12" s="75" customFormat="1">
      <c r="A51" s="45" t="s">
        <v>138</v>
      </c>
      <c r="B51" s="44"/>
      <c r="C51" s="314"/>
      <c r="D51" s="74"/>
      <c r="E51" s="10"/>
      <c r="F51" s="6"/>
      <c r="G51" s="10"/>
      <c r="H51" s="6"/>
      <c r="I51" s="10"/>
      <c r="J51" s="6"/>
      <c r="K51" s="10"/>
      <c r="L51" s="10"/>
    </row>
    <row r="52" spans="1:12" s="75" customFormat="1">
      <c r="A52" s="47" t="s">
        <v>139</v>
      </c>
      <c r="B52" s="9" t="s">
        <v>190</v>
      </c>
      <c r="C52" s="314"/>
      <c r="D52" s="74"/>
      <c r="E52" s="17">
        <v>0.27214978699007164</v>
      </c>
      <c r="F52" s="31">
        <v>0.26713091209510859</v>
      </c>
      <c r="G52" s="17">
        <v>0.20516756550162854</v>
      </c>
      <c r="H52" s="31">
        <v>0.33380752826538984</v>
      </c>
      <c r="I52" s="7">
        <v>3.0338463195045757</v>
      </c>
      <c r="J52" s="31">
        <v>0.25516142726273361</v>
      </c>
      <c r="K52" s="10">
        <v>4.3464531388219896E-3</v>
      </c>
      <c r="L52" s="91">
        <v>0.11642410168559912</v>
      </c>
    </row>
    <row r="53" spans="1:12">
      <c r="A53" s="47" t="s">
        <v>140</v>
      </c>
      <c r="B53" s="9" t="s">
        <v>190</v>
      </c>
      <c r="C53" s="314"/>
      <c r="D53" s="6"/>
      <c r="E53" s="17">
        <v>0.49040467275893063</v>
      </c>
      <c r="F53" s="31">
        <v>0.24662082514734773</v>
      </c>
      <c r="G53" s="17">
        <v>0.8056293512576721</v>
      </c>
      <c r="H53" s="31">
        <v>0.26679631174899027</v>
      </c>
      <c r="I53" s="17">
        <v>14.352335568568185</v>
      </c>
      <c r="J53" s="31">
        <v>0.14281551300842801</v>
      </c>
      <c r="K53" s="10" t="s">
        <v>100</v>
      </c>
      <c r="L53" s="91"/>
    </row>
    <row r="54" spans="1:12" ht="17">
      <c r="A54" s="47" t="s">
        <v>141</v>
      </c>
      <c r="B54" s="9" t="s">
        <v>190</v>
      </c>
      <c r="C54" s="314"/>
      <c r="D54" s="6"/>
      <c r="E54" s="17">
        <v>0.12701392420361818</v>
      </c>
      <c r="F54" s="31">
        <v>0.20252140699640897</v>
      </c>
      <c r="G54" s="17">
        <v>0.15694253662929705</v>
      </c>
      <c r="H54" s="31">
        <v>0.26679631174899027</v>
      </c>
      <c r="I54" s="17" t="s">
        <v>100</v>
      </c>
      <c r="J54" s="31"/>
      <c r="K54" s="10">
        <v>6.6263353619007426E-2</v>
      </c>
      <c r="L54" s="91">
        <v>1.5760258519604251E-2</v>
      </c>
    </row>
    <row r="55" spans="1:12">
      <c r="A55" s="47" t="s">
        <v>142</v>
      </c>
      <c r="B55" s="9" t="s">
        <v>202</v>
      </c>
      <c r="C55" s="314"/>
      <c r="D55" s="6"/>
      <c r="E55" s="10" t="s">
        <v>100</v>
      </c>
      <c r="F55" s="31"/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10" t="s">
        <v>100</v>
      </c>
      <c r="F56" s="31"/>
      <c r="G56" s="10" t="s">
        <v>100</v>
      </c>
      <c r="H56" s="31"/>
      <c r="I56" s="10" t="s">
        <v>100</v>
      </c>
      <c r="J56" s="31"/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1">
        <v>7.6671738683765306E-3</v>
      </c>
      <c r="H57" s="31">
        <v>0.31764306815839938</v>
      </c>
      <c r="I57" s="17">
        <v>7.9246594818688953E-2</v>
      </c>
      <c r="J57" s="31">
        <v>0.25516142726273361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0">
        <v>9.3460988571854343E-3</v>
      </c>
      <c r="H58" s="31">
        <v>0.33380752826538984</v>
      </c>
      <c r="I58" s="17">
        <v>0.11705316747909468</v>
      </c>
      <c r="J58" s="31">
        <v>0.25516142726273361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1">
        <v>2.019970586352917E-3</v>
      </c>
      <c r="H59" s="31">
        <v>0.18169508994556796</v>
      </c>
      <c r="I59" s="10">
        <v>4.0410997516140953E-2</v>
      </c>
      <c r="J59" s="31">
        <v>8.169993001099303E-2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0" t="s">
        <v>100</v>
      </c>
      <c r="H60" s="31"/>
      <c r="I60" s="7">
        <v>0</v>
      </c>
      <c r="J60" s="31">
        <v>8.169993001099303E-2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2.0516024953078398E-2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1">
        <v>1.3889570034126999E-3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2">
        <v>1.3566608588182165E-4</v>
      </c>
      <c r="L63" s="91">
        <v>0.14289915445218027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7">
        <v>0</v>
      </c>
      <c r="L64" s="91">
        <v>0.12713889593257605</v>
      </c>
    </row>
    <row r="65" spans="1:12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314"/>
      <c r="D66" s="33"/>
      <c r="E66" s="7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314"/>
      <c r="D67" s="33"/>
      <c r="E67" s="7">
        <v>0.85144191089993848</v>
      </c>
      <c r="F67" s="31">
        <v>0.20252140699640897</v>
      </c>
      <c r="G67" s="17">
        <v>8.7763169427740165E-2</v>
      </c>
      <c r="H67" s="31">
        <v>0.18169508994556796</v>
      </c>
      <c r="I67" s="7">
        <v>0</v>
      </c>
      <c r="J67" s="31">
        <v>0.25516142726273361</v>
      </c>
      <c r="K67" s="7">
        <v>0</v>
      </c>
      <c r="L67" s="91">
        <v>0.16835230469036278</v>
      </c>
    </row>
    <row r="68" spans="1:12">
      <c r="A68" s="47" t="s">
        <v>109</v>
      </c>
      <c r="B68" s="9" t="s">
        <v>191</v>
      </c>
      <c r="C68" s="314"/>
      <c r="D68" s="6"/>
      <c r="E68" s="7">
        <v>0</v>
      </c>
      <c r="F68" s="98">
        <v>0.18201132004864815</v>
      </c>
      <c r="G68" s="7">
        <v>0</v>
      </c>
      <c r="H68" s="31">
        <v>0.16553062983857753</v>
      </c>
      <c r="I68" s="7">
        <v>0</v>
      </c>
      <c r="J68" s="31">
        <v>0.25516142726273361</v>
      </c>
      <c r="K68" s="7">
        <v>0</v>
      </c>
      <c r="L68" s="91">
        <v>0.16835230469036278</v>
      </c>
    </row>
    <row r="69" spans="1:12">
      <c r="A69" s="47" t="s">
        <v>153</v>
      </c>
      <c r="B69" s="9" t="s">
        <v>190</v>
      </c>
      <c r="C69" s="314"/>
      <c r="D69" s="6"/>
      <c r="E69" s="10" t="s">
        <v>100</v>
      </c>
      <c r="F69" s="98"/>
      <c r="G69" s="7">
        <v>0</v>
      </c>
      <c r="H69" s="31">
        <v>0.16553062983857753</v>
      </c>
      <c r="I69" s="10">
        <v>1.3997835230971478E-2</v>
      </c>
      <c r="J69" s="31">
        <v>0.16466365298644192</v>
      </c>
      <c r="K69" s="13">
        <v>6.1780107569394091E-12</v>
      </c>
      <c r="L69" s="91">
        <v>0.16835230469036278</v>
      </c>
    </row>
    <row r="70" spans="1:12">
      <c r="A70" s="47" t="s">
        <v>154</v>
      </c>
      <c r="B70" s="9" t="s">
        <v>190</v>
      </c>
      <c r="C70" s="314"/>
      <c r="D70" s="6"/>
      <c r="E70" s="17" t="s">
        <v>100</v>
      </c>
      <c r="F70" s="98"/>
      <c r="G70" s="7">
        <v>0</v>
      </c>
      <c r="H70" s="31">
        <v>0.16553062983857753</v>
      </c>
      <c r="I70" s="7">
        <v>0</v>
      </c>
      <c r="J70" s="31">
        <v>0.16466365298644192</v>
      </c>
      <c r="K70" s="7">
        <v>0</v>
      </c>
      <c r="L70" s="91">
        <v>0.16835230469036278</v>
      </c>
    </row>
    <row r="71" spans="1:12">
      <c r="A71" s="47" t="s">
        <v>142</v>
      </c>
      <c r="B71" s="9" t="s">
        <v>202</v>
      </c>
      <c r="C71" s="314"/>
      <c r="D71" s="6"/>
      <c r="E71" s="12" t="s">
        <v>100</v>
      </c>
      <c r="F71" s="98"/>
      <c r="G71" s="7"/>
      <c r="H71" s="29"/>
      <c r="I71" s="10"/>
      <c r="J71" s="6"/>
      <c r="K71" s="7"/>
      <c r="L71" s="10"/>
    </row>
    <row r="72" spans="1:12">
      <c r="A72" s="47" t="s">
        <v>155</v>
      </c>
      <c r="B72" s="9" t="s">
        <v>190</v>
      </c>
      <c r="C72" s="314"/>
      <c r="D72" s="6"/>
      <c r="E72" s="7"/>
      <c r="F72" s="8"/>
      <c r="G72" s="7">
        <v>0</v>
      </c>
      <c r="H72" s="31">
        <v>0.16553062983857753</v>
      </c>
      <c r="I72" s="11">
        <v>1.5997525978253117E-3</v>
      </c>
      <c r="J72" s="31">
        <v>0.16466365298644192</v>
      </c>
      <c r="K72" s="10"/>
      <c r="L72" s="10"/>
    </row>
    <row r="73" spans="1:12">
      <c r="A73" s="47" t="s">
        <v>156</v>
      </c>
      <c r="B73" s="9" t="s">
        <v>202</v>
      </c>
      <c r="C73" s="314"/>
      <c r="D73" s="6"/>
      <c r="E73" s="7"/>
      <c r="F73" s="8"/>
      <c r="G73" s="7">
        <v>0</v>
      </c>
      <c r="H73" s="31">
        <v>0.16553062983857753</v>
      </c>
      <c r="I73" s="7">
        <v>0</v>
      </c>
      <c r="J73" s="31">
        <v>0.13330399743495785</v>
      </c>
      <c r="K73" s="10"/>
      <c r="L73" s="10"/>
    </row>
    <row r="74" spans="1:12">
      <c r="A74" s="47"/>
      <c r="B74" s="9"/>
      <c r="C74" s="314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314"/>
      <c r="D76" s="6"/>
      <c r="E76" s="10">
        <v>83.337083502090906</v>
      </c>
      <c r="F76" s="98">
        <v>0.112259893348302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7.9135913873527191</v>
      </c>
      <c r="J77" s="31">
        <v>9.7654818614877251E-2</v>
      </c>
      <c r="K77" s="10"/>
      <c r="L77" s="10"/>
    </row>
    <row r="78" spans="1:12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5.3726866771695994</v>
      </c>
      <c r="J78" s="31">
        <v>6.6295163063393184E-2</v>
      </c>
      <c r="K78" s="10"/>
      <c r="L78" s="10"/>
    </row>
    <row r="79" spans="1:12">
      <c r="A79" s="47" t="s">
        <v>161</v>
      </c>
      <c r="B79" s="9" t="s">
        <v>190</v>
      </c>
      <c r="C79" s="314"/>
      <c r="D79" s="6"/>
      <c r="E79" s="7"/>
      <c r="F79" s="8"/>
      <c r="G79" s="10">
        <v>2.5956311230732821E-2</v>
      </c>
      <c r="H79" s="31">
        <v>8.317567662339001E-2</v>
      </c>
      <c r="I79" s="17">
        <v>1.2883571652228369</v>
      </c>
      <c r="J79" s="31">
        <v>0.11234591425430561</v>
      </c>
      <c r="K79" s="7">
        <v>0</v>
      </c>
      <c r="L79" s="91">
        <v>0.16835230469036278</v>
      </c>
    </row>
    <row r="80" spans="1:12">
      <c r="A80" s="47" t="s">
        <v>112</v>
      </c>
      <c r="B80" s="9" t="s">
        <v>190</v>
      </c>
      <c r="C80" s="314"/>
      <c r="D80" s="6"/>
      <c r="E80" s="7"/>
      <c r="F80" s="8"/>
      <c r="G80" s="7">
        <v>0.97236335148976039</v>
      </c>
      <c r="H80" s="31">
        <v>8.317567662339001E-2</v>
      </c>
      <c r="I80" s="17">
        <v>4.3021344327314477</v>
      </c>
      <c r="J80" s="31">
        <v>0.11234591425430561</v>
      </c>
      <c r="K80" s="10"/>
      <c r="L80" s="10"/>
    </row>
    <row r="81" spans="1:12">
      <c r="A81" s="47" t="s">
        <v>162</v>
      </c>
      <c r="B81" s="9" t="s">
        <v>190</v>
      </c>
      <c r="C81" s="314"/>
      <c r="D81" s="6"/>
      <c r="E81" s="7"/>
      <c r="F81" s="8"/>
      <c r="G81" s="7"/>
      <c r="H81" s="8"/>
      <c r="I81" s="10"/>
      <c r="J81" s="6"/>
      <c r="K81" s="10">
        <v>4.4593722189269869</v>
      </c>
      <c r="L81" s="91">
        <v>0.16835230469036278</v>
      </c>
    </row>
    <row r="82" spans="1:12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10">
        <v>0.13353749237482504</v>
      </c>
      <c r="L82" s="91">
        <v>0.16835230469036278</v>
      </c>
    </row>
    <row r="83" spans="1:12">
      <c r="A83" s="47" t="s">
        <v>137</v>
      </c>
      <c r="B83" s="9" t="s">
        <v>190</v>
      </c>
      <c r="C83" s="314"/>
      <c r="D83" s="6"/>
      <c r="E83" s="7" t="s">
        <v>100</v>
      </c>
      <c r="F83" s="98"/>
      <c r="G83" s="7">
        <v>0</v>
      </c>
      <c r="H83" s="31">
        <v>9.8519413322177965E-2</v>
      </c>
      <c r="I83" s="10"/>
      <c r="J83" s="6"/>
      <c r="K83" s="10"/>
      <c r="L83" s="10"/>
    </row>
    <row r="84" spans="1:12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314"/>
      <c r="D85" s="31"/>
      <c r="E85" s="7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314"/>
      <c r="D86" s="6"/>
      <c r="E86" s="7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314"/>
      <c r="D87" s="6"/>
      <c r="E87" s="7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314"/>
      <c r="D88" s="6"/>
      <c r="E88" s="7">
        <v>1393.5632981901499</v>
      </c>
      <c r="F88" s="98">
        <v>0.5317425390588455</v>
      </c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17">
        <v>95.074921118034609</v>
      </c>
      <c r="J89" s="31">
        <v>9.8368489923048738E-2</v>
      </c>
      <c r="K89" s="10"/>
      <c r="L89" s="10"/>
    </row>
    <row r="90" spans="1:12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17">
        <v>0.33914988391808643</v>
      </c>
      <c r="J90" s="31">
        <v>0.17935474862587028</v>
      </c>
      <c r="K90" s="10"/>
      <c r="L90" s="10"/>
    </row>
    <row r="91" spans="1:12">
      <c r="A91" s="47" t="s">
        <v>169</v>
      </c>
      <c r="B91" s="9" t="s">
        <v>190</v>
      </c>
      <c r="C91" s="314"/>
      <c r="D91" s="6"/>
      <c r="E91" s="7"/>
      <c r="F91" s="8"/>
      <c r="G91" s="7">
        <v>20.659860901852021</v>
      </c>
      <c r="H91" s="31">
        <v>8.317567662339001E-2</v>
      </c>
      <c r="I91" s="17">
        <v>4.9716308375006664</v>
      </c>
      <c r="J91" s="31">
        <v>0.17935474862587028</v>
      </c>
      <c r="K91" s="10"/>
      <c r="L91" s="10"/>
    </row>
    <row r="92" spans="1:12">
      <c r="A92" s="47" t="s">
        <v>170</v>
      </c>
      <c r="B92" s="9" t="s">
        <v>190</v>
      </c>
      <c r="C92" s="314"/>
      <c r="D92" s="6"/>
      <c r="E92" s="7"/>
      <c r="F92" s="8"/>
      <c r="G92" s="7">
        <v>0</v>
      </c>
      <c r="H92" s="31">
        <v>9.8519413322177965E-2</v>
      </c>
      <c r="I92" s="7">
        <v>0</v>
      </c>
      <c r="J92" s="31">
        <v>9.7654818614877251E-2</v>
      </c>
      <c r="K92" s="10"/>
      <c r="L92" s="10"/>
    </row>
    <row r="93" spans="1:12">
      <c r="A93" s="47" t="s">
        <v>171</v>
      </c>
      <c r="B93" s="9" t="s">
        <v>190</v>
      </c>
      <c r="C93" s="314"/>
      <c r="D93" s="6"/>
      <c r="E93" s="7"/>
      <c r="F93" s="8"/>
      <c r="G93" s="7" t="s">
        <v>100</v>
      </c>
      <c r="H93" s="31"/>
      <c r="I93" s="7">
        <v>0</v>
      </c>
      <c r="J93" s="31">
        <v>9.7654818614877251E-2</v>
      </c>
      <c r="K93" s="7">
        <v>0</v>
      </c>
      <c r="L93" s="91">
        <v>0.16835230469036278</v>
      </c>
    </row>
    <row r="94" spans="1:12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17">
        <v>1.4761999471792202</v>
      </c>
      <c r="L94" s="91">
        <v>0.16835230469036278</v>
      </c>
    </row>
    <row r="95" spans="1:12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17">
        <v>1.3801087649025789</v>
      </c>
      <c r="L95" s="91">
        <v>0.16835230469036278</v>
      </c>
    </row>
    <row r="96" spans="1:12">
      <c r="A96" s="47" t="s">
        <v>172</v>
      </c>
      <c r="B96" s="9" t="s">
        <v>190</v>
      </c>
      <c r="C96" s="314"/>
      <c r="D96" s="6"/>
      <c r="E96" s="7" t="s">
        <v>100</v>
      </c>
      <c r="F96" s="98"/>
      <c r="G96" s="17">
        <v>3.8938202042059706</v>
      </c>
      <c r="H96" s="31">
        <v>0.11468387342916843</v>
      </c>
      <c r="I96" s="10"/>
      <c r="J96" s="6"/>
      <c r="K96" s="17">
        <v>2.2884789135122059</v>
      </c>
      <c r="L96" s="91">
        <v>0.14289915445218027</v>
      </c>
    </row>
    <row r="97" spans="1:17">
      <c r="A97" s="47" t="s">
        <v>173</v>
      </c>
      <c r="B97" s="9" t="s">
        <v>190</v>
      </c>
      <c r="C97" s="315"/>
      <c r="D97" s="180"/>
      <c r="E97" s="35" t="s">
        <v>100</v>
      </c>
      <c r="F97" s="190"/>
      <c r="G97" s="103">
        <v>2.684746841939492</v>
      </c>
      <c r="H97" s="191">
        <v>0.11468387342916843</v>
      </c>
      <c r="I97" s="14"/>
      <c r="J97" s="180"/>
      <c r="K97" s="103">
        <v>0.13028103350937389</v>
      </c>
      <c r="L97" s="99">
        <v>0.14289915445218027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100"/>
      <c r="F99" s="24"/>
      <c r="G99" s="24"/>
      <c r="H99" s="24"/>
      <c r="I99" s="24"/>
      <c r="J99" s="24"/>
      <c r="K99" s="24"/>
      <c r="L99" s="24"/>
      <c r="M99" s="19"/>
      <c r="N99" s="19"/>
      <c r="O99" s="26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1504.58963421147</v>
      </c>
      <c r="J100" s="273"/>
      <c r="K100" s="273"/>
      <c r="L100" s="273"/>
      <c r="M100" s="19"/>
      <c r="N100" s="19"/>
      <c r="O100" s="19"/>
      <c r="P100" s="28"/>
      <c r="Q100" s="27"/>
    </row>
    <row r="101" spans="1:17" s="25" customFormat="1">
      <c r="A101" s="264" t="s">
        <v>233</v>
      </c>
      <c r="B101" s="265" t="s">
        <v>190</v>
      </c>
      <c r="C101" s="266"/>
      <c r="D101" s="266"/>
      <c r="E101" s="266">
        <v>894</v>
      </c>
      <c r="F101" s="266"/>
      <c r="G101" s="266">
        <v>155</v>
      </c>
      <c r="H101" s="266"/>
      <c r="I101" s="266"/>
      <c r="J101" s="266"/>
      <c r="K101" s="266">
        <v>33</v>
      </c>
      <c r="L101" s="266"/>
      <c r="M101"/>
      <c r="N101"/>
      <c r="O101"/>
      <c r="P101" s="26"/>
      <c r="Q101" s="27"/>
    </row>
    <row r="102" spans="1:17" s="25" customFormat="1">
      <c r="A102" s="264" t="s">
        <v>234</v>
      </c>
      <c r="B102" s="265" t="s">
        <v>190</v>
      </c>
      <c r="C102" s="267"/>
      <c r="D102" s="267"/>
      <c r="E102" s="267">
        <v>8.9099999999999999E-2</v>
      </c>
      <c r="F102" s="267"/>
      <c r="G102" s="267">
        <v>6.1000000000000004E-3</v>
      </c>
      <c r="H102" s="267"/>
      <c r="I102" s="267"/>
      <c r="J102" s="267"/>
      <c r="K102" s="267">
        <v>1.1999999999999999E-3</v>
      </c>
      <c r="L102" s="267"/>
      <c r="M102"/>
      <c r="N102"/>
      <c r="O102"/>
      <c r="P102" s="19"/>
      <c r="Q102" s="19"/>
    </row>
    <row r="103" spans="1:17">
      <c r="A103" s="264" t="s">
        <v>235</v>
      </c>
      <c r="B103" s="265" t="s">
        <v>190</v>
      </c>
      <c r="C103" s="268"/>
      <c r="D103" s="268"/>
      <c r="E103" s="268">
        <v>1.3299999999999999E-2</v>
      </c>
      <c r="F103" s="268"/>
      <c r="G103" s="268">
        <v>1.1999999999999999E-3</v>
      </c>
      <c r="H103" s="268"/>
      <c r="I103" s="268"/>
      <c r="J103" s="268"/>
      <c r="K103" s="268">
        <v>2.0000000000000001E-4</v>
      </c>
      <c r="L103" s="268"/>
    </row>
  </sheetData>
  <mergeCells count="3">
    <mergeCell ref="C11:C97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3"/>
  <sheetViews>
    <sheetView zoomScale="70" zoomScaleNormal="70" workbookViewId="0">
      <pane xSplit="2" ySplit="9" topLeftCell="C19" activePane="bottomRight" state="frozen"/>
      <selection pane="topRight" activeCell="J20" sqref="J20"/>
      <selection pane="bottomLeft" activeCell="J20" sqref="J20"/>
      <selection pane="bottomRight" activeCell="B38" sqref="B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27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25">
        <v>0.56324034389965905</v>
      </c>
      <c r="D4" s="312" t="s">
        <v>176</v>
      </c>
      <c r="E4" s="313"/>
      <c r="F4" s="105">
        <v>4050000</v>
      </c>
      <c r="G4" s="206"/>
      <c r="H4" s="207" t="s">
        <v>177</v>
      </c>
      <c r="I4" s="22">
        <v>5654000</v>
      </c>
      <c r="J4" s="22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26" t="s">
        <v>216</v>
      </c>
      <c r="D5" s="312" t="s">
        <v>207</v>
      </c>
      <c r="E5" s="313"/>
      <c r="F5" s="23">
        <v>2894000</v>
      </c>
      <c r="G5" s="212"/>
      <c r="H5" s="213" t="s">
        <v>181</v>
      </c>
      <c r="I5" s="23">
        <v>0</v>
      </c>
      <c r="J5" s="224"/>
      <c r="K5" s="210" t="s">
        <v>178</v>
      </c>
      <c r="L5" s="23">
        <v>0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/>
      <c r="F9" s="221"/>
      <c r="G9" s="4">
        <f>C4</f>
        <v>0.56324034389965905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 ht="15" customHeight="1">
      <c r="A11" s="46" t="s">
        <v>98</v>
      </c>
      <c r="B11" s="48" t="s">
        <v>189</v>
      </c>
      <c r="C11" s="314" t="s">
        <v>209</v>
      </c>
      <c r="D11" s="8"/>
      <c r="E11" s="7" t="s">
        <v>100</v>
      </c>
      <c r="F11" s="31"/>
      <c r="G11" s="7"/>
      <c r="H11" s="8"/>
      <c r="I11" s="7">
        <v>20027.5736271282</v>
      </c>
      <c r="J11" s="31">
        <v>0.85081932800141502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 t="s">
        <v>100</v>
      </c>
      <c r="F12" s="31"/>
      <c r="G12" s="7"/>
      <c r="H12" s="8"/>
      <c r="I12" s="7">
        <v>1.1591252158840541</v>
      </c>
      <c r="J12" s="31">
        <v>0.78181958524938111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 t="s">
        <v>100</v>
      </c>
      <c r="F13" s="31"/>
      <c r="G13" s="7"/>
      <c r="H13" s="8"/>
      <c r="I13" s="7">
        <v>0</v>
      </c>
      <c r="J13" s="31">
        <v>0.67085902635302452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 t="s">
        <v>100</v>
      </c>
      <c r="F16" s="31"/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 t="s">
        <v>100</v>
      </c>
      <c r="F17" s="31"/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 t="s">
        <v>100</v>
      </c>
      <c r="F18" s="31"/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6"/>
      <c r="E19" s="7" t="s">
        <v>100</v>
      </c>
      <c r="F19" s="31"/>
      <c r="G19" s="7">
        <v>0</v>
      </c>
      <c r="H19" s="31">
        <v>0.78621367713436774</v>
      </c>
      <c r="I19" s="7">
        <v>0</v>
      </c>
      <c r="J19" s="31">
        <v>0.85081932800141502</v>
      </c>
      <c r="K19" s="10">
        <v>3.7971231670464803E-2</v>
      </c>
      <c r="L19" s="91">
        <v>0.56260449221789877</v>
      </c>
    </row>
    <row r="20" spans="1:12">
      <c r="A20" s="47" t="s">
        <v>109</v>
      </c>
      <c r="B20" s="9" t="s">
        <v>191</v>
      </c>
      <c r="C20" s="314"/>
      <c r="D20" s="31"/>
      <c r="E20" s="7" t="s">
        <v>100</v>
      </c>
      <c r="F20" s="31"/>
      <c r="G20" s="17" t="s">
        <v>100</v>
      </c>
      <c r="H20" s="31"/>
      <c r="I20" s="7">
        <v>97.267860552813602</v>
      </c>
      <c r="J20" s="31">
        <v>0.85081932800141502</v>
      </c>
      <c r="K20" s="7">
        <v>24.820537868037643</v>
      </c>
      <c r="L20" s="91">
        <v>0.31134429094446409</v>
      </c>
    </row>
    <row r="21" spans="1:12">
      <c r="A21" s="47" t="s">
        <v>192</v>
      </c>
      <c r="B21" s="9" t="s">
        <v>190</v>
      </c>
      <c r="C21" s="314"/>
      <c r="D21" s="31"/>
      <c r="E21" s="7"/>
      <c r="F21" s="8"/>
      <c r="G21" s="7">
        <v>871.38954870397595</v>
      </c>
      <c r="H21" s="31">
        <v>1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139.001714547988</v>
      </c>
      <c r="H22" s="31">
        <v>1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17">
        <v>0.81716006853142509</v>
      </c>
      <c r="H23" s="31">
        <v>0.68510429041978427</v>
      </c>
      <c r="I23" s="7">
        <v>5.2230473611255057</v>
      </c>
      <c r="J23" s="31">
        <v>0.78181958524938111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>
        <v>3.1437047073678199</v>
      </c>
      <c r="H24" s="31">
        <v>0.15322758627035832</v>
      </c>
      <c r="I24" s="7">
        <v>4.6287583184333396</v>
      </c>
      <c r="J24" s="31">
        <v>0.78181958524938111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1934.37630022906</v>
      </c>
      <c r="J25" s="31">
        <v>0.85081932800141502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C4*1000</f>
        <v>563.24034389965902</v>
      </c>
      <c r="J26" s="31">
        <v>1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5.4461746399367401</v>
      </c>
      <c r="J27" s="31">
        <v>0.85081932800141502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15.895372354233499</v>
      </c>
      <c r="J28" s="31">
        <v>0.85081932800141502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0.82882359320834809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20.324886050938073</v>
      </c>
      <c r="L30" s="91">
        <v>0.75905886080650864</v>
      </c>
    </row>
    <row r="31" spans="1:12" ht="18.7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3">
        <v>7.3271477402039501E-5</v>
      </c>
      <c r="L31" s="91">
        <v>0.75905886080650864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7">
        <v>1.0342587673135966</v>
      </c>
      <c r="L32" s="91">
        <v>0.75905886080650864</v>
      </c>
    </row>
    <row r="33" spans="1:12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0.13418154632026164</v>
      </c>
      <c r="L33" s="91">
        <v>0.56260449221789877</v>
      </c>
    </row>
    <row r="34" spans="1:12" s="25" customFormat="1">
      <c r="A34" s="47"/>
      <c r="B34" s="9"/>
      <c r="C34" s="314"/>
      <c r="D34" s="37"/>
      <c r="E34" s="7"/>
      <c r="F34" s="8"/>
      <c r="G34" s="10"/>
      <c r="H34" s="6"/>
      <c r="I34" s="10"/>
      <c r="J34" s="6"/>
      <c r="K34" s="10"/>
      <c r="L34" s="91"/>
    </row>
    <row r="35" spans="1:12" s="25" customFormat="1">
      <c r="A35" s="34" t="s">
        <v>120</v>
      </c>
      <c r="B35" s="9"/>
      <c r="C35" s="314"/>
      <c r="D35" s="37"/>
      <c r="E35" s="10"/>
      <c r="F35" s="6"/>
      <c r="G35" s="186"/>
      <c r="H35" s="187"/>
      <c r="I35" s="186"/>
      <c r="J35" s="187"/>
      <c r="K35" s="227"/>
      <c r="L35" s="227"/>
    </row>
    <row r="36" spans="1:12">
      <c r="A36" s="92" t="s">
        <v>121</v>
      </c>
      <c r="B36" s="93" t="s">
        <v>191</v>
      </c>
      <c r="C36" s="314"/>
      <c r="D36" s="31"/>
      <c r="E36" s="7" t="s">
        <v>100</v>
      </c>
      <c r="F36" s="37"/>
      <c r="G36" s="7">
        <v>0</v>
      </c>
      <c r="H36" s="98">
        <v>0.78621367713436774</v>
      </c>
      <c r="I36" s="7">
        <v>0</v>
      </c>
      <c r="J36" s="98">
        <v>0.85081932800141502</v>
      </c>
      <c r="K36" s="10">
        <f>K19-K67</f>
        <v>1.2524959991222905E-2</v>
      </c>
      <c r="L36" s="171">
        <v>0.56260449221789877</v>
      </c>
    </row>
    <row r="37" spans="1:12">
      <c r="A37" s="92" t="s">
        <v>122</v>
      </c>
      <c r="B37" s="93" t="s">
        <v>191</v>
      </c>
      <c r="C37" s="314"/>
      <c r="D37" s="31"/>
      <c r="E37" s="7" t="s">
        <v>100</v>
      </c>
      <c r="F37" s="37"/>
      <c r="G37" s="10" t="s">
        <v>100</v>
      </c>
      <c r="H37" s="185"/>
      <c r="I37" s="7">
        <v>5.6065969609012143</v>
      </c>
      <c r="J37" s="98">
        <v>0.85081932800141502</v>
      </c>
      <c r="K37" s="17">
        <f>K20-K68</f>
        <v>0.34490623019089028</v>
      </c>
      <c r="L37" s="171">
        <v>0.31134429094446409</v>
      </c>
    </row>
    <row r="38" spans="1:12">
      <c r="A38" s="47" t="s">
        <v>123</v>
      </c>
      <c r="B38" s="9" t="s">
        <v>210</v>
      </c>
      <c r="C38" s="314"/>
      <c r="D38" s="31"/>
      <c r="E38" s="7" t="s">
        <v>100</v>
      </c>
      <c r="F38" s="31"/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7" t="s">
        <v>100</v>
      </c>
      <c r="F39" s="31"/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6"/>
      <c r="E40" s="7" t="s">
        <v>100</v>
      </c>
      <c r="F40" s="31"/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6"/>
      <c r="E41" s="7" t="s">
        <v>100</v>
      </c>
      <c r="F41" s="31"/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31"/>
      <c r="E42" s="10"/>
      <c r="F42" s="6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31"/>
      <c r="E43" s="10"/>
      <c r="F43" s="6"/>
      <c r="G43" s="10"/>
      <c r="H43" s="6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0</v>
      </c>
      <c r="F44" s="31">
        <v>0.61305217691776093</v>
      </c>
      <c r="G44" s="7">
        <v>0</v>
      </c>
      <c r="H44" s="98">
        <v>1</v>
      </c>
      <c r="I44" s="186"/>
      <c r="J44" s="187"/>
      <c r="K44" s="7">
        <v>0</v>
      </c>
      <c r="L44" s="91">
        <v>1.0008986036434382</v>
      </c>
    </row>
    <row r="45" spans="1:12">
      <c r="A45" s="47" t="s">
        <v>133</v>
      </c>
      <c r="B45" s="9" t="s">
        <v>201</v>
      </c>
      <c r="C45" s="314"/>
      <c r="D45" s="31"/>
      <c r="E45" s="7">
        <v>0</v>
      </c>
      <c r="F45" s="31">
        <v>0.61305217691776093</v>
      </c>
      <c r="G45" s="7">
        <v>0</v>
      </c>
      <c r="H45" s="98">
        <v>1</v>
      </c>
      <c r="I45" s="186"/>
      <c r="J45" s="187"/>
      <c r="K45" s="7">
        <v>0</v>
      </c>
      <c r="L45" s="91">
        <v>1.0008986036434382</v>
      </c>
    </row>
    <row r="46" spans="1:12">
      <c r="A46" s="47" t="s">
        <v>134</v>
      </c>
      <c r="B46" s="9" t="s">
        <v>201</v>
      </c>
      <c r="C46" s="314"/>
      <c r="D46" s="31"/>
      <c r="E46" s="7">
        <v>8558.8785083810872</v>
      </c>
      <c r="F46" s="31">
        <v>0.61305217691776093</v>
      </c>
      <c r="G46" s="7">
        <v>2602.9862678178802</v>
      </c>
      <c r="H46" s="98">
        <v>1</v>
      </c>
      <c r="I46" s="186"/>
      <c r="J46" s="187"/>
      <c r="K46" s="7">
        <v>1441.14405947459</v>
      </c>
      <c r="L46" s="91">
        <v>1.0008986036434382</v>
      </c>
    </row>
    <row r="47" spans="1:12">
      <c r="A47" s="47" t="s">
        <v>135</v>
      </c>
      <c r="B47" s="9" t="s">
        <v>201</v>
      </c>
      <c r="C47" s="314"/>
      <c r="D47" s="6"/>
      <c r="E47" s="7">
        <v>0</v>
      </c>
      <c r="F47" s="31">
        <v>0.61305217691776093</v>
      </c>
      <c r="G47" s="7">
        <v>0</v>
      </c>
      <c r="H47" s="98">
        <v>1</v>
      </c>
      <c r="I47" s="186"/>
      <c r="J47" s="187"/>
      <c r="K47" s="7">
        <v>0</v>
      </c>
      <c r="L47" s="91">
        <v>1.0008986036434382</v>
      </c>
    </row>
    <row r="48" spans="1:12">
      <c r="A48" s="47" t="s">
        <v>136</v>
      </c>
      <c r="B48" s="9" t="s">
        <v>201</v>
      </c>
      <c r="C48" s="314"/>
      <c r="D48" s="6"/>
      <c r="E48" s="7">
        <v>1768.1477510930445</v>
      </c>
      <c r="F48" s="31">
        <v>0.61305217691776093</v>
      </c>
      <c r="G48" s="7">
        <v>82.470005387406005</v>
      </c>
      <c r="H48" s="98">
        <v>1</v>
      </c>
      <c r="I48" s="7">
        <v>54453.655598304598</v>
      </c>
      <c r="J48" s="98">
        <v>1</v>
      </c>
      <c r="K48" s="7">
        <v>277.47808921289197</v>
      </c>
      <c r="L48" s="91">
        <v>1.0008986036434382</v>
      </c>
    </row>
    <row r="49" spans="1:12">
      <c r="A49" s="47" t="s">
        <v>137</v>
      </c>
      <c r="B49" s="9" t="s">
        <v>201</v>
      </c>
      <c r="C49" s="314"/>
      <c r="D49" s="6"/>
      <c r="E49" s="7">
        <v>0</v>
      </c>
      <c r="F49" s="31">
        <v>0.61305217691776093</v>
      </c>
      <c r="G49" s="7">
        <v>0</v>
      </c>
      <c r="H49" s="98">
        <v>1</v>
      </c>
      <c r="I49" s="186"/>
      <c r="J49" s="187"/>
      <c r="K49" s="7">
        <v>0</v>
      </c>
      <c r="L49" s="91">
        <v>1.0008986036434382</v>
      </c>
    </row>
    <row r="50" spans="1:12">
      <c r="A50" s="47"/>
      <c r="B50" s="9"/>
      <c r="C50" s="314"/>
      <c r="D50" s="31"/>
      <c r="E50" s="10"/>
      <c r="F50" s="6"/>
      <c r="G50" s="10"/>
      <c r="H50" s="6"/>
      <c r="I50" s="10"/>
      <c r="J50" s="6"/>
      <c r="K50" s="10"/>
      <c r="L50" s="10"/>
    </row>
    <row r="51" spans="1:12" s="75" customFormat="1">
      <c r="A51" s="45" t="s">
        <v>138</v>
      </c>
      <c r="B51" s="44"/>
      <c r="C51" s="314"/>
      <c r="D51" s="74"/>
      <c r="E51" s="10"/>
      <c r="F51" s="6"/>
      <c r="G51" s="10"/>
      <c r="H51" s="6"/>
      <c r="I51" s="10"/>
      <c r="J51" s="6"/>
      <c r="K51" s="10"/>
      <c r="L51" s="10"/>
    </row>
    <row r="52" spans="1:12" s="75" customFormat="1">
      <c r="A52" s="47" t="s">
        <v>139</v>
      </c>
      <c r="B52" s="9" t="s">
        <v>190</v>
      </c>
      <c r="C52" s="314"/>
      <c r="D52" s="74"/>
      <c r="E52" s="7" t="s">
        <v>100</v>
      </c>
      <c r="F52" s="31"/>
      <c r="G52" s="17">
        <v>0.34964449037387602</v>
      </c>
      <c r="H52" s="31">
        <v>0.90659596064580783</v>
      </c>
      <c r="I52" s="7">
        <v>0.77612996887899899</v>
      </c>
      <c r="J52" s="31">
        <v>0.85081932800141502</v>
      </c>
      <c r="K52" s="11">
        <v>4.6087178930046997E-3</v>
      </c>
      <c r="L52" s="91">
        <v>0.36672677361160239</v>
      </c>
    </row>
    <row r="53" spans="1:12">
      <c r="A53" s="47" t="s">
        <v>140</v>
      </c>
      <c r="B53" s="9" t="s">
        <v>190</v>
      </c>
      <c r="C53" s="314"/>
      <c r="D53" s="6"/>
      <c r="E53" s="7" t="s">
        <v>100</v>
      </c>
      <c r="F53" s="31"/>
      <c r="G53" s="17">
        <v>0.68948674956059197</v>
      </c>
      <c r="H53" s="31">
        <v>0.90659596064580783</v>
      </c>
      <c r="I53" s="17">
        <v>11.5193420884166</v>
      </c>
      <c r="J53" s="31">
        <v>0.85081932800141502</v>
      </c>
      <c r="K53" s="11">
        <v>3.8889530577359134E-3</v>
      </c>
      <c r="L53" s="91">
        <v>0.36672677361160239</v>
      </c>
    </row>
    <row r="54" spans="1:12" ht="17">
      <c r="A54" s="47" t="s">
        <v>141</v>
      </c>
      <c r="B54" s="9" t="s">
        <v>190</v>
      </c>
      <c r="C54" s="314"/>
      <c r="D54" s="6"/>
      <c r="E54" s="7" t="s">
        <v>100</v>
      </c>
      <c r="F54" s="31"/>
      <c r="G54" s="17">
        <v>0.22673955648004099</v>
      </c>
      <c r="H54" s="31">
        <v>0.75336837437544946</v>
      </c>
      <c r="I54" s="17" t="s">
        <v>100</v>
      </c>
      <c r="J54" s="31"/>
      <c r="K54" s="10">
        <v>1.3062200177894142E-2</v>
      </c>
      <c r="L54" s="91">
        <v>0.36672677361160239</v>
      </c>
    </row>
    <row r="55" spans="1:12">
      <c r="A55" s="47" t="s">
        <v>142</v>
      </c>
      <c r="B55" s="9" t="s">
        <v>202</v>
      </c>
      <c r="C55" s="314"/>
      <c r="D55" s="6"/>
      <c r="E55" s="7" t="s">
        <v>100</v>
      </c>
      <c r="F55" s="31"/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7"/>
      <c r="F56" s="31"/>
      <c r="G56" s="7">
        <v>0</v>
      </c>
      <c r="H56" s="31">
        <v>0.23741043826586428</v>
      </c>
      <c r="I56" s="10">
        <v>4.7393293459374189E-3</v>
      </c>
      <c r="J56" s="31">
        <v>0.29855014954368586</v>
      </c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2">
        <v>2.9677976554447498E-4</v>
      </c>
      <c r="H57" s="31">
        <v>0.75336837437544946</v>
      </c>
      <c r="I57" s="17">
        <v>0.118547041330248</v>
      </c>
      <c r="J57" s="31">
        <v>0.85081932800141502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0">
        <v>2.9335962582782101E-2</v>
      </c>
      <c r="H58" s="31">
        <v>0.90659596064580783</v>
      </c>
      <c r="I58" s="17">
        <v>0.26331201316676001</v>
      </c>
      <c r="J58" s="31">
        <v>0.85081932800141502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0">
        <v>2.023590808922E-2</v>
      </c>
      <c r="H59" s="31">
        <v>0.80548657393122436</v>
      </c>
      <c r="I59" s="17">
        <v>5.4066722332050401E-4</v>
      </c>
      <c r="J59" s="31">
        <v>0.48034260877255047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0">
        <v>2.2185094735607098E-2</v>
      </c>
      <c r="H60" s="31">
        <v>0.44769385215391999</v>
      </c>
      <c r="I60" s="7">
        <v>0</v>
      </c>
      <c r="J60" s="31">
        <v>0.22955040679165192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2.9606467922541398E-2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1">
        <v>1.14838862215645E-3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1">
        <v>3.4665651678014702E-3</v>
      </c>
      <c r="L63" s="91">
        <v>0.25126020127343474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13" t="s">
        <v>100</v>
      </c>
      <c r="L64" s="91"/>
    </row>
    <row r="65" spans="1:13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3">
      <c r="A66" s="45" t="s">
        <v>152</v>
      </c>
      <c r="B66" s="44"/>
      <c r="C66" s="314"/>
      <c r="D66" s="33"/>
      <c r="E66" s="7"/>
      <c r="F66" s="8"/>
      <c r="G66" s="17"/>
      <c r="H66" s="29"/>
      <c r="I66" s="10"/>
      <c r="J66" s="6"/>
      <c r="K66" s="10"/>
      <c r="L66" s="10"/>
    </row>
    <row r="67" spans="1:13">
      <c r="A67" s="47" t="s">
        <v>107</v>
      </c>
      <c r="B67" s="9" t="s">
        <v>191</v>
      </c>
      <c r="C67" s="314"/>
      <c r="D67" s="33"/>
      <c r="E67" s="7" t="s">
        <v>100</v>
      </c>
      <c r="F67" s="31"/>
      <c r="G67" s="7">
        <v>0</v>
      </c>
      <c r="H67" s="31">
        <v>0.54880323886850346</v>
      </c>
      <c r="I67" s="7">
        <v>0</v>
      </c>
      <c r="J67" s="31">
        <v>0.62126892120976307</v>
      </c>
      <c r="K67" s="10">
        <v>2.5446271679241898E-2</v>
      </c>
      <c r="L67" s="91">
        <v>0.56260449221789877</v>
      </c>
    </row>
    <row r="68" spans="1:13">
      <c r="A68" s="47" t="s">
        <v>109</v>
      </c>
      <c r="B68" s="9" t="s">
        <v>191</v>
      </c>
      <c r="C68" s="314"/>
      <c r="D68" s="6"/>
      <c r="E68" s="7" t="s">
        <v>100</v>
      </c>
      <c r="F68" s="31"/>
      <c r="G68" s="7" t="s">
        <v>100</v>
      </c>
      <c r="H68" s="31"/>
      <c r="I68" s="7">
        <v>91.661263591912402</v>
      </c>
      <c r="J68" s="31">
        <v>0.85081932800141502</v>
      </c>
      <c r="K68" s="7">
        <v>24.475631637846753</v>
      </c>
      <c r="L68" s="91">
        <v>0.31134429094446409</v>
      </c>
    </row>
    <row r="69" spans="1:13">
      <c r="A69" s="47" t="s">
        <v>153</v>
      </c>
      <c r="B69" s="9" t="s">
        <v>190</v>
      </c>
      <c r="C69" s="314"/>
      <c r="D69" s="6"/>
      <c r="E69" s="7" t="s">
        <v>100</v>
      </c>
      <c r="F69" s="31"/>
      <c r="G69" s="7">
        <v>0</v>
      </c>
      <c r="H69" s="31">
        <v>0.10110938671458343</v>
      </c>
      <c r="I69" s="10">
        <v>0.66775550941615702</v>
      </c>
      <c r="J69" s="31">
        <v>0.44130861956137252</v>
      </c>
      <c r="K69" s="11">
        <v>3.2408269817794E-3</v>
      </c>
      <c r="L69" s="91">
        <v>0.56260449221789877</v>
      </c>
    </row>
    <row r="70" spans="1:13">
      <c r="A70" s="47" t="s">
        <v>154</v>
      </c>
      <c r="B70" s="9" t="s">
        <v>190</v>
      </c>
      <c r="C70" s="314"/>
      <c r="D70" s="6"/>
      <c r="E70" s="7" t="s">
        <v>100</v>
      </c>
      <c r="F70" s="31"/>
      <c r="G70" s="10">
        <v>7.3602186878584497E-2</v>
      </c>
      <c r="H70" s="31">
        <v>0.33851982498044769</v>
      </c>
      <c r="I70" s="7">
        <v>0</v>
      </c>
      <c r="J70" s="31">
        <v>0.190516417580474</v>
      </c>
      <c r="K70" s="11">
        <v>1.14117753002301E-3</v>
      </c>
      <c r="L70" s="91">
        <v>0.56260449221789877</v>
      </c>
    </row>
    <row r="71" spans="1:13">
      <c r="A71" s="47" t="s">
        <v>142</v>
      </c>
      <c r="B71" s="9" t="s">
        <v>202</v>
      </c>
      <c r="C71" s="314"/>
      <c r="D71" s="6"/>
      <c r="E71" s="7" t="s">
        <v>100</v>
      </c>
      <c r="F71" s="31"/>
      <c r="G71" s="17"/>
      <c r="H71" s="29"/>
      <c r="I71" s="10"/>
      <c r="J71" s="6"/>
      <c r="K71" s="10"/>
      <c r="L71" s="10"/>
    </row>
    <row r="72" spans="1:13">
      <c r="A72" s="47" t="s">
        <v>155</v>
      </c>
      <c r="B72" s="9" t="s">
        <v>190</v>
      </c>
      <c r="C72" s="314"/>
      <c r="D72" s="6"/>
      <c r="E72" s="7"/>
      <c r="F72" s="8"/>
      <c r="G72" s="68">
        <v>0</v>
      </c>
      <c r="H72" s="31">
        <v>0.10110938671458343</v>
      </c>
      <c r="I72" s="17">
        <v>1.25204158015529</v>
      </c>
      <c r="J72" s="31">
        <v>0.44130861956137252</v>
      </c>
      <c r="K72" s="10"/>
      <c r="L72" s="10"/>
    </row>
    <row r="73" spans="1:13">
      <c r="A73" s="47" t="s">
        <v>156</v>
      </c>
      <c r="B73" s="9" t="s">
        <v>202</v>
      </c>
      <c r="C73" s="314"/>
      <c r="D73" s="6"/>
      <c r="E73" s="7"/>
      <c r="F73" s="8"/>
      <c r="G73" s="68">
        <v>0</v>
      </c>
      <c r="H73" s="31">
        <v>0.10110938671458343</v>
      </c>
      <c r="I73" s="7">
        <v>0</v>
      </c>
      <c r="J73" s="31">
        <v>0.190516417580474</v>
      </c>
      <c r="K73" s="10"/>
      <c r="L73" s="10"/>
    </row>
    <row r="74" spans="1:13">
      <c r="A74" s="47"/>
      <c r="B74" s="9"/>
      <c r="C74" s="314"/>
      <c r="D74" s="6"/>
      <c r="E74" s="7"/>
      <c r="F74" s="8"/>
      <c r="G74" s="17"/>
      <c r="H74" s="29"/>
      <c r="I74" s="17"/>
      <c r="J74" s="29"/>
      <c r="K74" s="10"/>
      <c r="L74" s="10"/>
    </row>
    <row r="75" spans="1:13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3">
      <c r="A76" s="47" t="s">
        <v>158</v>
      </c>
      <c r="B76" s="9" t="s">
        <v>190</v>
      </c>
      <c r="C76" s="314"/>
      <c r="D76" s="6"/>
      <c r="E76" s="7" t="s">
        <v>100</v>
      </c>
      <c r="F76" s="31"/>
      <c r="G76" s="17"/>
      <c r="H76" s="29"/>
      <c r="I76" s="17"/>
      <c r="J76" s="29"/>
      <c r="K76" s="10"/>
      <c r="L76" s="10"/>
      <c r="M76" s="101"/>
    </row>
    <row r="77" spans="1:13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7.5490496557530946</v>
      </c>
      <c r="J77" s="98">
        <v>0.85081932800141502</v>
      </c>
      <c r="K77" s="10"/>
      <c r="L77" s="10"/>
      <c r="M77" s="101"/>
    </row>
    <row r="78" spans="1:13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5.2635913567556285</v>
      </c>
      <c r="J78" s="98">
        <v>0.85081932800141502</v>
      </c>
      <c r="K78" s="10"/>
      <c r="L78" s="10"/>
      <c r="M78" s="101"/>
    </row>
    <row r="79" spans="1:13">
      <c r="A79" s="47" t="s">
        <v>161</v>
      </c>
      <c r="B79" s="9" t="s">
        <v>190</v>
      </c>
      <c r="C79" s="314"/>
      <c r="D79" s="6"/>
      <c r="E79" s="7"/>
      <c r="F79" s="8"/>
      <c r="G79" s="17">
        <v>6.4577558484517697E-2</v>
      </c>
      <c r="H79" s="31">
        <v>0.78621367713436774</v>
      </c>
      <c r="I79" s="7">
        <v>0</v>
      </c>
      <c r="J79" s="98">
        <v>0.30147697647683053</v>
      </c>
      <c r="K79" s="7">
        <v>0</v>
      </c>
      <c r="L79" s="91">
        <v>0.31192094092677752</v>
      </c>
    </row>
    <row r="80" spans="1:13">
      <c r="A80" s="47" t="s">
        <v>112</v>
      </c>
      <c r="B80" s="9" t="s">
        <v>190</v>
      </c>
      <c r="C80" s="314"/>
      <c r="D80" s="6"/>
      <c r="E80" s="7"/>
      <c r="F80" s="8"/>
      <c r="G80" s="17">
        <v>0.143432831596288</v>
      </c>
      <c r="H80" s="31">
        <v>0.44769385215391999</v>
      </c>
      <c r="I80" s="17">
        <v>6.0767731278771597</v>
      </c>
      <c r="J80" s="98">
        <v>0.55226917845772905</v>
      </c>
      <c r="K80" s="10"/>
      <c r="L80" s="10"/>
    </row>
    <row r="81" spans="1:13">
      <c r="A81" s="47" t="s">
        <v>162</v>
      </c>
      <c r="B81" s="9" t="s">
        <v>190</v>
      </c>
      <c r="C81" s="314"/>
      <c r="D81" s="6"/>
      <c r="E81" s="7"/>
      <c r="F81" s="8"/>
      <c r="G81" s="7"/>
      <c r="H81" s="8"/>
      <c r="I81" s="10"/>
      <c r="J81" s="6"/>
      <c r="K81" s="10">
        <v>10.404778051143801</v>
      </c>
      <c r="L81" s="91">
        <v>0.75905886080650864</v>
      </c>
      <c r="M81" s="102"/>
    </row>
    <row r="82" spans="1:13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7">
        <v>1.0142887565888175</v>
      </c>
      <c r="L82" s="91">
        <v>0.31192094092677752</v>
      </c>
    </row>
    <row r="83" spans="1:13">
      <c r="A83" s="47" t="s">
        <v>137</v>
      </c>
      <c r="B83" s="9" t="s">
        <v>190</v>
      </c>
      <c r="C83" s="314"/>
      <c r="D83" s="6"/>
      <c r="E83" s="7"/>
      <c r="F83" s="31"/>
      <c r="G83" s="7">
        <v>0</v>
      </c>
      <c r="H83" s="31">
        <v>0.15322758627035832</v>
      </c>
      <c r="I83" s="10"/>
      <c r="J83" s="6"/>
      <c r="K83" s="10"/>
      <c r="L83" s="10"/>
    </row>
    <row r="84" spans="1:13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</row>
    <row r="85" spans="1:13">
      <c r="A85" s="45" t="s">
        <v>164</v>
      </c>
      <c r="B85" s="44"/>
      <c r="C85" s="314"/>
      <c r="D85" s="31"/>
      <c r="E85" s="7"/>
      <c r="F85" s="8"/>
      <c r="G85" s="7"/>
      <c r="H85" s="8"/>
      <c r="I85" s="10"/>
      <c r="J85" s="6"/>
      <c r="K85" s="10"/>
      <c r="L85" s="10"/>
    </row>
    <row r="86" spans="1:13">
      <c r="A86" s="47" t="s">
        <v>165</v>
      </c>
      <c r="B86" s="9" t="s">
        <v>190</v>
      </c>
      <c r="C86" s="314"/>
      <c r="D86" s="6"/>
      <c r="E86" s="7"/>
      <c r="F86" s="8"/>
      <c r="G86" s="7"/>
      <c r="H86" s="8"/>
      <c r="I86" s="10"/>
      <c r="J86" s="6"/>
      <c r="K86" s="10"/>
      <c r="L86" s="10"/>
    </row>
    <row r="87" spans="1:13">
      <c r="A87" s="47" t="s">
        <v>231</v>
      </c>
      <c r="B87" s="9" t="s">
        <v>190</v>
      </c>
      <c r="C87" s="314"/>
      <c r="D87" s="6"/>
      <c r="E87" s="7"/>
      <c r="F87" s="8"/>
      <c r="G87" s="7"/>
      <c r="H87" s="8"/>
      <c r="I87" s="10"/>
      <c r="J87" s="6"/>
      <c r="K87" s="10"/>
      <c r="L87" s="10"/>
    </row>
    <row r="88" spans="1:13">
      <c r="A88" s="47" t="s">
        <v>166</v>
      </c>
      <c r="B88" s="9" t="s">
        <v>190</v>
      </c>
      <c r="C88" s="314"/>
      <c r="D88" s="6"/>
      <c r="E88" s="7" t="s">
        <v>100</v>
      </c>
      <c r="F88" s="31"/>
      <c r="G88" s="7"/>
      <c r="H88" s="8"/>
      <c r="I88" s="10"/>
      <c r="J88" s="6"/>
      <c r="K88" s="10"/>
      <c r="L88" s="10"/>
    </row>
    <row r="89" spans="1:13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17">
        <v>6.6524474564355396</v>
      </c>
      <c r="J89" s="31">
        <v>0.53102738326848253</v>
      </c>
      <c r="K89" s="10"/>
      <c r="L89" s="10"/>
    </row>
    <row r="90" spans="1:13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11">
        <v>3.11647999817166E-3</v>
      </c>
      <c r="J90" s="31">
        <v>0.34051096568800848</v>
      </c>
      <c r="K90" s="10"/>
      <c r="L90" s="10"/>
    </row>
    <row r="91" spans="1:13">
      <c r="A91" s="47" t="s">
        <v>169</v>
      </c>
      <c r="B91" s="9" t="s">
        <v>190</v>
      </c>
      <c r="C91" s="314"/>
      <c r="D91" s="6"/>
      <c r="E91" s="7"/>
      <c r="F91" s="8"/>
      <c r="G91" s="7">
        <v>4.7778914022960999</v>
      </c>
      <c r="H91" s="31">
        <v>0.68510429041978427</v>
      </c>
      <c r="I91" s="17">
        <v>0.72717866624005523</v>
      </c>
      <c r="J91" s="31">
        <v>0.34051096568800848</v>
      </c>
      <c r="K91" s="10"/>
      <c r="L91" s="10"/>
    </row>
    <row r="92" spans="1:13">
      <c r="A92" s="47" t="s">
        <v>170</v>
      </c>
      <c r="B92" s="9" t="s">
        <v>190</v>
      </c>
      <c r="C92" s="314"/>
      <c r="D92" s="6"/>
      <c r="E92" s="7"/>
      <c r="F92" s="8"/>
      <c r="G92" s="7">
        <v>0</v>
      </c>
      <c r="H92" s="31">
        <v>0.15322758627035832</v>
      </c>
      <c r="I92" s="11">
        <v>4.1066537279696603E-3</v>
      </c>
      <c r="J92" s="31">
        <v>0.30147697647683053</v>
      </c>
      <c r="K92" s="10"/>
      <c r="L92" s="10"/>
    </row>
    <row r="93" spans="1:13">
      <c r="A93" s="47" t="s">
        <v>171</v>
      </c>
      <c r="B93" s="9" t="s">
        <v>190</v>
      </c>
      <c r="C93" s="314"/>
      <c r="D93" s="6"/>
      <c r="E93" s="7"/>
      <c r="F93" s="8"/>
      <c r="G93" s="7">
        <v>1.6966145939219699</v>
      </c>
      <c r="H93" s="31">
        <v>0.68510429041978427</v>
      </c>
      <c r="I93" s="17">
        <v>0.28566368049468266</v>
      </c>
      <c r="J93" s="31">
        <v>0.78181958524938111</v>
      </c>
      <c r="K93" s="17">
        <v>1.5685209189250799</v>
      </c>
      <c r="L93" s="91">
        <v>0.75905886080650864</v>
      </c>
    </row>
    <row r="94" spans="1:13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7">
        <v>0</v>
      </c>
      <c r="L94" s="91">
        <v>0.75905886080650864</v>
      </c>
    </row>
    <row r="95" spans="1:13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7">
        <v>0</v>
      </c>
      <c r="L95" s="91">
        <v>0.75905886080650864</v>
      </c>
    </row>
    <row r="96" spans="1:13">
      <c r="A96" s="47" t="s">
        <v>172</v>
      </c>
      <c r="B96" s="9" t="s">
        <v>190</v>
      </c>
      <c r="C96" s="314"/>
      <c r="D96" s="6"/>
      <c r="E96" s="7" t="s">
        <v>100</v>
      </c>
      <c r="F96" s="31"/>
      <c r="G96" s="7">
        <v>0</v>
      </c>
      <c r="H96" s="31">
        <v>0.15322758627035832</v>
      </c>
      <c r="I96" s="10"/>
      <c r="J96" s="6"/>
      <c r="K96" s="17">
        <v>0.239753285820128</v>
      </c>
      <c r="L96" s="91">
        <v>0.36672677361160239</v>
      </c>
    </row>
    <row r="97" spans="1:17">
      <c r="A97" s="47" t="s">
        <v>173</v>
      </c>
      <c r="B97" s="9" t="s">
        <v>190</v>
      </c>
      <c r="C97" s="315"/>
      <c r="D97" s="180"/>
      <c r="E97" s="20" t="s">
        <v>100</v>
      </c>
      <c r="F97" s="222"/>
      <c r="G97" s="20">
        <v>0</v>
      </c>
      <c r="H97" s="191">
        <v>0.15322758627035832</v>
      </c>
      <c r="I97" s="14"/>
      <c r="J97" s="180"/>
      <c r="K97" s="20">
        <v>0</v>
      </c>
      <c r="L97" s="99">
        <v>0.11546657233816766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75"/>
      <c r="E99" s="24"/>
      <c r="F99" s="24"/>
      <c r="G99" s="24"/>
      <c r="H99" s="100"/>
      <c r="I99" s="24"/>
      <c r="J99" s="24"/>
      <c r="K99" s="24"/>
      <c r="L99" s="24"/>
      <c r="M99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1524.2635409341001</v>
      </c>
      <c r="J100" s="273"/>
      <c r="K100" s="273"/>
      <c r="L100" s="273"/>
      <c r="M100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/>
      <c r="D101" s="266"/>
      <c r="E101" s="266">
        <v>454</v>
      </c>
      <c r="F101" s="266"/>
      <c r="G101" s="266">
        <v>138</v>
      </c>
      <c r="H101" s="266"/>
      <c r="I101" s="266"/>
      <c r="J101" s="266"/>
      <c r="K101" s="266">
        <v>76</v>
      </c>
      <c r="L101" s="266"/>
    </row>
    <row r="102" spans="1:17">
      <c r="A102" s="264" t="s">
        <v>234</v>
      </c>
      <c r="B102" s="265" t="s">
        <v>190</v>
      </c>
      <c r="C102" s="267"/>
      <c r="D102" s="267"/>
      <c r="E102" s="267">
        <v>8.5590000000000006E-3</v>
      </c>
      <c r="F102" s="267"/>
      <c r="G102" s="267">
        <v>2.6029999999999998E-3</v>
      </c>
      <c r="H102" s="267"/>
      <c r="I102" s="267"/>
      <c r="J102" s="267"/>
      <c r="K102" s="267">
        <v>1.441E-3</v>
      </c>
      <c r="L102" s="267"/>
    </row>
    <row r="103" spans="1:17">
      <c r="A103" s="264" t="s">
        <v>235</v>
      </c>
      <c r="B103" s="265" t="s">
        <v>190</v>
      </c>
      <c r="C103" s="268"/>
      <c r="D103" s="268"/>
      <c r="E103" s="268">
        <v>8.5590000000000004E-4</v>
      </c>
      <c r="F103" s="268"/>
      <c r="G103" s="268">
        <v>2.6029999999999998E-4</v>
      </c>
      <c r="H103" s="268"/>
      <c r="I103" s="268"/>
      <c r="J103" s="268"/>
      <c r="K103" s="268">
        <v>1.4410000000000001E-4</v>
      </c>
      <c r="L103" s="268"/>
    </row>
  </sheetData>
  <mergeCells count="3">
    <mergeCell ref="C11:C97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7"/>
  <sheetViews>
    <sheetView zoomScale="70" zoomScaleNormal="70" workbookViewId="0">
      <pane xSplit="2" ySplit="9" topLeftCell="C10" activePane="bottomRight" state="frozen"/>
      <selection pane="topRight" activeCell="J20" sqref="J20"/>
      <selection pane="bottomLeft" activeCell="J20" sqref="J20"/>
      <selection pane="bottomRight" activeCell="E41" sqref="E41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221</v>
      </c>
    </row>
    <row r="2" spans="1:17">
      <c r="A2" s="16"/>
    </row>
    <row r="3" spans="1:17">
      <c r="A3" s="88" t="s">
        <v>174</v>
      </c>
      <c r="I3" s="169"/>
    </row>
    <row r="4" spans="1:17">
      <c r="A4" s="203"/>
      <c r="B4" s="204" t="s">
        <v>175</v>
      </c>
      <c r="C4" s="205">
        <v>0.49341376485205302</v>
      </c>
      <c r="D4" s="316" t="s">
        <v>176</v>
      </c>
      <c r="E4" s="317"/>
      <c r="F4" s="235">
        <v>2185000</v>
      </c>
      <c r="G4" s="312" t="s">
        <v>222</v>
      </c>
      <c r="H4" s="313"/>
      <c r="I4" s="22">
        <v>3614000</v>
      </c>
      <c r="J4" s="312" t="s">
        <v>223</v>
      </c>
      <c r="K4" s="313"/>
      <c r="L4" s="208">
        <f>I4/(I4+I5)</f>
        <v>0.97570194384449249</v>
      </c>
      <c r="Q4" s="44"/>
    </row>
    <row r="5" spans="1:17">
      <c r="A5" s="209"/>
      <c r="B5" s="210" t="s">
        <v>179</v>
      </c>
      <c r="C5" s="211">
        <v>0.50833411215135904</v>
      </c>
      <c r="D5" s="316" t="s">
        <v>207</v>
      </c>
      <c r="E5" s="317"/>
      <c r="F5" s="23">
        <v>4104000</v>
      </c>
      <c r="G5" s="312" t="s">
        <v>224</v>
      </c>
      <c r="H5" s="313"/>
      <c r="I5" s="23">
        <v>90000</v>
      </c>
      <c r="J5" s="312" t="s">
        <v>223</v>
      </c>
      <c r="K5" s="313"/>
      <c r="L5" s="214">
        <f>I5/(I4+I5)</f>
        <v>2.429805615550756E-2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5" customHeight="1">
      <c r="A9" s="219"/>
      <c r="B9" s="220" t="s">
        <v>187</v>
      </c>
      <c r="C9" s="18"/>
      <c r="D9" s="221"/>
      <c r="E9" s="18">
        <v>1.9471874489626284</v>
      </c>
      <c r="F9" s="221" t="s">
        <v>208</v>
      </c>
      <c r="G9" s="4">
        <f>(C4*L4)+(L5*C5)</f>
        <v>0.49377630028859126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>
      <c r="A11" s="46" t="s">
        <v>98</v>
      </c>
      <c r="B11" s="48" t="s">
        <v>189</v>
      </c>
      <c r="C11" s="314" t="s">
        <v>209</v>
      </c>
      <c r="D11" s="8"/>
      <c r="E11" s="7">
        <v>5740.0451893402151</v>
      </c>
      <c r="F11" s="31">
        <v>0.8007228197630829</v>
      </c>
      <c r="G11" s="7"/>
      <c r="H11" s="8"/>
      <c r="I11" s="7">
        <v>13736.877730326531</v>
      </c>
      <c r="J11" s="31">
        <v>0.88087811096112301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>
        <v>0</v>
      </c>
      <c r="F12" s="31">
        <v>0.8007228197630829</v>
      </c>
      <c r="G12" s="7"/>
      <c r="H12" s="8"/>
      <c r="I12" s="7">
        <v>5.8259948758309443</v>
      </c>
      <c r="J12" s="31">
        <v>0.44983558585313177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>
        <v>0</v>
      </c>
      <c r="F13" s="31">
        <v>0.8007228197630829</v>
      </c>
      <c r="G13" s="7"/>
      <c r="H13" s="8"/>
      <c r="I13" s="7">
        <v>119.35521508313255</v>
      </c>
      <c r="J13" s="31">
        <v>0.44039525107991362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>
        <v>2347.4296667421868</v>
      </c>
      <c r="F16" s="31">
        <v>0.8007228197630829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>
        <v>74.898814035167504</v>
      </c>
      <c r="F17" s="31">
        <v>0.8007228197630829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>
        <v>21.731379416234599</v>
      </c>
      <c r="F18" s="31">
        <v>0.8007228197630829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6"/>
      <c r="E19" s="7">
        <v>3.51841611427826</v>
      </c>
      <c r="F19" s="31">
        <v>0.8007228197630829</v>
      </c>
      <c r="G19" s="17">
        <v>3.2553868039739435</v>
      </c>
      <c r="H19" s="31">
        <v>0.60009321892861345</v>
      </c>
      <c r="I19" s="7">
        <v>32.404899238504342</v>
      </c>
      <c r="J19" s="31">
        <v>0.88087811096112301</v>
      </c>
      <c r="K19" s="7">
        <v>7.8921943369861296</v>
      </c>
      <c r="L19" s="91">
        <v>0.67307081830453552</v>
      </c>
    </row>
    <row r="20" spans="1:12">
      <c r="A20" s="47" t="s">
        <v>109</v>
      </c>
      <c r="B20" s="9" t="s">
        <v>191</v>
      </c>
      <c r="C20" s="314"/>
      <c r="D20" s="31"/>
      <c r="E20" s="7">
        <v>0</v>
      </c>
      <c r="F20" s="31">
        <v>0.8007228197630829</v>
      </c>
      <c r="G20" s="17">
        <v>7.077495516847307</v>
      </c>
      <c r="H20" s="31">
        <v>0.60009321892861345</v>
      </c>
      <c r="I20" s="7">
        <v>76.167183353468502</v>
      </c>
      <c r="J20" s="31">
        <v>0.88087811096112301</v>
      </c>
      <c r="K20" s="7">
        <v>0</v>
      </c>
      <c r="L20" s="91">
        <v>0.21953064254859611</v>
      </c>
    </row>
    <row r="21" spans="1:12">
      <c r="A21" s="47" t="s">
        <v>192</v>
      </c>
      <c r="B21" s="9" t="s">
        <v>190</v>
      </c>
      <c r="C21" s="314"/>
      <c r="D21" s="31"/>
      <c r="E21" s="7"/>
      <c r="F21" s="8"/>
      <c r="G21" s="7">
        <v>950.13090276312323</v>
      </c>
      <c r="H21" s="31">
        <v>0.39199019262773355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156.86041377894426</v>
      </c>
      <c r="H22" s="31">
        <v>0.39199019262773355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17">
        <v>1.508512319517276</v>
      </c>
      <c r="H23" s="31">
        <v>0.18355585131302327</v>
      </c>
      <c r="I23" s="7">
        <v>5.6308697679428352</v>
      </c>
      <c r="J23" s="31">
        <v>0.37609320059395251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>
        <v>5.2093811249633379</v>
      </c>
      <c r="H24" s="31">
        <v>0.43045028811491748</v>
      </c>
      <c r="I24" s="7">
        <v>4.522686668919139</v>
      </c>
      <c r="J24" s="31">
        <v>0.64432484206263496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1882.9933993409447</v>
      </c>
      <c r="J25" s="31">
        <v>0.88087811096112301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(C4*L4+C5*L5)*1000</f>
        <v>493.77630028859124</v>
      </c>
      <c r="J26" s="31">
        <v>0.89844153241120239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12.355668414471513</v>
      </c>
      <c r="J27" s="31">
        <v>0.26731026322894169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17.637574668272396</v>
      </c>
      <c r="J28" s="31">
        <v>0.88087811096112301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0.95511131506479485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18.958252347047122</v>
      </c>
      <c r="L30" s="91">
        <v>0.86460240577753789</v>
      </c>
    </row>
    <row r="31" spans="1:12" ht="18.7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1">
        <v>4.0230226450819898E-3</v>
      </c>
      <c r="L31" s="91">
        <v>0.48874940361771058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17">
        <v>0.79185234561007201</v>
      </c>
      <c r="L32" s="91">
        <v>0.52115923083153348</v>
      </c>
    </row>
    <row r="33" spans="1:12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6.8443384204204941E-2</v>
      </c>
      <c r="L33" s="91">
        <v>0.44917264308855293</v>
      </c>
    </row>
    <row r="34" spans="1:12" s="25" customFormat="1">
      <c r="A34" s="47"/>
      <c r="B34" s="9"/>
      <c r="C34" s="314"/>
      <c r="D34" s="37"/>
      <c r="E34" s="7"/>
      <c r="F34" s="8"/>
      <c r="G34" s="10"/>
      <c r="H34" s="6"/>
      <c r="I34" s="10"/>
      <c r="J34" s="6"/>
      <c r="K34" s="10"/>
      <c r="L34" s="91"/>
    </row>
    <row r="35" spans="1:12" s="25" customFormat="1">
      <c r="A35" s="34" t="s">
        <v>120</v>
      </c>
      <c r="B35" s="9"/>
      <c r="C35" s="314"/>
      <c r="D35" s="37"/>
      <c r="E35" s="186"/>
      <c r="F35" s="187"/>
      <c r="G35" s="186"/>
      <c r="H35" s="187"/>
      <c r="I35" s="186"/>
      <c r="J35" s="187"/>
      <c r="K35" s="227"/>
      <c r="L35" s="227"/>
    </row>
    <row r="36" spans="1:12">
      <c r="A36" s="92" t="s">
        <v>121</v>
      </c>
      <c r="B36" s="93" t="s">
        <v>191</v>
      </c>
      <c r="C36" s="314"/>
      <c r="D36" s="31"/>
      <c r="E36" s="7">
        <v>0</v>
      </c>
      <c r="F36" s="98">
        <v>0.8007228197630829</v>
      </c>
      <c r="G36" s="17">
        <v>0.6942581303834725</v>
      </c>
      <c r="H36" s="98">
        <v>0.60009321892861345</v>
      </c>
      <c r="I36" s="7">
        <v>15.559735678083459</v>
      </c>
      <c r="J36" s="98">
        <v>0.88087811096112301</v>
      </c>
      <c r="K36" s="17">
        <v>0.32187575049133083</v>
      </c>
      <c r="L36" s="171">
        <v>0.67307081830453552</v>
      </c>
    </row>
    <row r="37" spans="1:12">
      <c r="A37" s="92" t="s">
        <v>122</v>
      </c>
      <c r="B37" s="93" t="s">
        <v>191</v>
      </c>
      <c r="C37" s="314"/>
      <c r="D37" s="31"/>
      <c r="E37" s="7">
        <v>0</v>
      </c>
      <c r="F37" s="98">
        <v>0.8007228197630829</v>
      </c>
      <c r="G37" s="7">
        <v>0</v>
      </c>
      <c r="H37" s="98">
        <v>0.60009321892861345</v>
      </c>
      <c r="I37" s="7">
        <v>0</v>
      </c>
      <c r="J37" s="98">
        <v>0.88087811096112301</v>
      </c>
      <c r="K37" s="7">
        <v>0</v>
      </c>
      <c r="L37" s="171">
        <v>0.21953064254859611</v>
      </c>
    </row>
    <row r="38" spans="1:12">
      <c r="A38" s="47" t="s">
        <v>123</v>
      </c>
      <c r="B38" s="9" t="s">
        <v>210</v>
      </c>
      <c r="C38" s="314"/>
      <c r="D38" s="31"/>
      <c r="E38" s="286">
        <v>0.67471209151727196</v>
      </c>
      <c r="F38" s="98">
        <v>1</v>
      </c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17" t="s">
        <v>229</v>
      </c>
      <c r="F39" s="98">
        <v>0.50657252271656006</v>
      </c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6"/>
      <c r="E40" s="241" t="s">
        <v>228</v>
      </c>
      <c r="F40" s="98">
        <v>0.80641965062317833</v>
      </c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6"/>
      <c r="E41" s="97">
        <v>1.5032203874905962E-5</v>
      </c>
      <c r="F41" s="98">
        <v>0.80641965062317833</v>
      </c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31"/>
      <c r="E42" s="186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31"/>
      <c r="E43" s="186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33.536056051018022</v>
      </c>
      <c r="F44" s="98">
        <v>1</v>
      </c>
      <c r="G44" s="7">
        <v>747.60657496925705</v>
      </c>
      <c r="H44" s="31">
        <v>0.39199019262773355</v>
      </c>
      <c r="I44" s="186"/>
      <c r="J44" s="187"/>
      <c r="K44" s="7">
        <v>112.363591643188</v>
      </c>
      <c r="L44" s="171">
        <v>0.90784332667656575</v>
      </c>
    </row>
    <row r="45" spans="1:12">
      <c r="A45" s="47" t="s">
        <v>133</v>
      </c>
      <c r="B45" s="9" t="s">
        <v>201</v>
      </c>
      <c r="C45" s="314"/>
      <c r="D45" s="31"/>
      <c r="E45" s="7">
        <v>11.760551488345234</v>
      </c>
      <c r="F45" s="98">
        <v>1</v>
      </c>
      <c r="G45" s="7">
        <v>15.884469515742239</v>
      </c>
      <c r="H45" s="31">
        <v>0.39199019262773355</v>
      </c>
      <c r="I45" s="186"/>
      <c r="J45" s="187"/>
      <c r="K45" s="7">
        <v>1.8244528333097201</v>
      </c>
      <c r="L45" s="171">
        <v>0.90784332667656575</v>
      </c>
    </row>
    <row r="46" spans="1:12">
      <c r="A46" s="47" t="s">
        <v>134</v>
      </c>
      <c r="B46" s="9" t="s">
        <v>201</v>
      </c>
      <c r="C46" s="314"/>
      <c r="D46" s="31"/>
      <c r="E46" s="7">
        <v>9722.0822093891729</v>
      </c>
      <c r="F46" s="98">
        <v>1</v>
      </c>
      <c r="G46" s="7">
        <v>501.75327761188947</v>
      </c>
      <c r="H46" s="31">
        <v>0.39199019262773399</v>
      </c>
      <c r="I46" s="186"/>
      <c r="J46" s="187"/>
      <c r="K46" s="7">
        <v>407.65696775367797</v>
      </c>
      <c r="L46" s="171">
        <v>0.90784332667656575</v>
      </c>
    </row>
    <row r="47" spans="1:12">
      <c r="A47" s="47" t="s">
        <v>135</v>
      </c>
      <c r="B47" s="9" t="s">
        <v>201</v>
      </c>
      <c r="C47" s="314"/>
      <c r="D47" s="6"/>
      <c r="E47" s="7">
        <v>0</v>
      </c>
      <c r="F47" s="98">
        <v>1</v>
      </c>
      <c r="G47" s="7">
        <v>0</v>
      </c>
      <c r="H47" s="31">
        <v>0.39199019262773399</v>
      </c>
      <c r="I47" s="186"/>
      <c r="J47" s="187"/>
      <c r="K47" s="7">
        <v>0</v>
      </c>
      <c r="L47" s="171">
        <v>0.90784332667656575</v>
      </c>
    </row>
    <row r="48" spans="1:12">
      <c r="A48" s="47" t="s">
        <v>136</v>
      </c>
      <c r="B48" s="9" t="s">
        <v>201</v>
      </c>
      <c r="C48" s="314"/>
      <c r="D48" s="6"/>
      <c r="E48" s="7">
        <v>549.02434978860799</v>
      </c>
      <c r="F48" s="98">
        <v>1</v>
      </c>
      <c r="G48" s="7">
        <v>256.58608567790861</v>
      </c>
      <c r="H48" s="31">
        <v>0.39199019262773399</v>
      </c>
      <c r="I48" s="7">
        <v>53506.218997198965</v>
      </c>
      <c r="J48" s="98">
        <v>1</v>
      </c>
      <c r="K48" s="7">
        <v>387.37819929510403</v>
      </c>
      <c r="L48" s="171">
        <v>0.90784332667656575</v>
      </c>
    </row>
    <row r="49" spans="1:12">
      <c r="A49" s="47" t="s">
        <v>137</v>
      </c>
      <c r="B49" s="9" t="s">
        <v>201</v>
      </c>
      <c r="C49" s="314"/>
      <c r="D49" s="6"/>
      <c r="E49" s="7">
        <v>33.933376749444001</v>
      </c>
      <c r="F49" s="98">
        <v>1</v>
      </c>
      <c r="G49" s="7">
        <v>1306.5071773581612</v>
      </c>
      <c r="H49" s="31">
        <v>0.39199019262773399</v>
      </c>
      <c r="I49" s="186"/>
      <c r="J49" s="187"/>
      <c r="K49" s="7">
        <v>190.27031060723982</v>
      </c>
      <c r="L49" s="171">
        <v>0.90784332667656575</v>
      </c>
    </row>
    <row r="50" spans="1:12">
      <c r="A50" s="47"/>
      <c r="B50" s="9"/>
      <c r="C50" s="314"/>
      <c r="D50" s="31"/>
      <c r="E50" s="10"/>
      <c r="F50" s="6"/>
      <c r="G50" s="10"/>
      <c r="H50" s="6"/>
      <c r="I50" s="10"/>
      <c r="J50" s="6"/>
      <c r="K50" s="10"/>
      <c r="L50" s="10"/>
    </row>
    <row r="51" spans="1:12" s="75" customFormat="1">
      <c r="A51" s="45" t="s">
        <v>138</v>
      </c>
      <c r="B51" s="44"/>
      <c r="C51" s="314"/>
      <c r="D51" s="74"/>
      <c r="E51" s="10"/>
      <c r="F51" s="6"/>
      <c r="G51" s="10"/>
      <c r="H51" s="6"/>
      <c r="I51" s="10"/>
      <c r="J51" s="6"/>
      <c r="K51" s="10"/>
      <c r="L51" s="10"/>
    </row>
    <row r="52" spans="1:12" s="75" customFormat="1">
      <c r="A52" s="47" t="s">
        <v>139</v>
      </c>
      <c r="B52" s="9" t="s">
        <v>190</v>
      </c>
      <c r="C52" s="314"/>
      <c r="D52" s="74"/>
      <c r="E52" s="10">
        <v>2.6185526889416E-2</v>
      </c>
      <c r="F52" s="31">
        <v>0.8007228197630829</v>
      </c>
      <c r="G52" s="17">
        <v>0.10673140708425739</v>
      </c>
      <c r="H52" s="31">
        <v>0.64117531857327115</v>
      </c>
      <c r="I52" s="7">
        <v>0.68157557491040299</v>
      </c>
      <c r="J52" s="31">
        <v>0.88087811096112301</v>
      </c>
      <c r="K52" s="10">
        <v>7.1820355704848196E-2</v>
      </c>
      <c r="L52" s="91">
        <v>0.70018325890928734</v>
      </c>
    </row>
    <row r="53" spans="1:12">
      <c r="A53" s="47" t="s">
        <v>140</v>
      </c>
      <c r="B53" s="9" t="s">
        <v>190</v>
      </c>
      <c r="C53" s="314"/>
      <c r="D53" s="6"/>
      <c r="E53" s="10">
        <v>1.1867932001013663E-2</v>
      </c>
      <c r="F53" s="31">
        <v>0.8007228197630829</v>
      </c>
      <c r="G53" s="17">
        <v>0.80494717719708153</v>
      </c>
      <c r="H53" s="31">
        <v>0.66773483671644618</v>
      </c>
      <c r="I53" s="17">
        <v>7.4083724461883076</v>
      </c>
      <c r="J53" s="31">
        <v>0.88087811096112301</v>
      </c>
      <c r="K53" s="10">
        <v>3.3788562924760596E-2</v>
      </c>
      <c r="L53" s="91">
        <v>0.56900886096112313</v>
      </c>
    </row>
    <row r="54" spans="1:12" ht="17">
      <c r="A54" s="47" t="s">
        <v>141</v>
      </c>
      <c r="B54" s="9" t="s">
        <v>190</v>
      </c>
      <c r="C54" s="314"/>
      <c r="D54" s="6"/>
      <c r="E54" s="17">
        <v>0.24491455672758525</v>
      </c>
      <c r="F54" s="31">
        <v>0.8007228197630829</v>
      </c>
      <c r="G54" s="17">
        <v>0.32437570032238316</v>
      </c>
      <c r="H54" s="31">
        <v>0.66773483671644618</v>
      </c>
      <c r="I54" s="17">
        <v>0.67762414753248945</v>
      </c>
      <c r="J54" s="31">
        <v>0.1875944370950324</v>
      </c>
      <c r="K54" s="10">
        <v>0.2264828978648625</v>
      </c>
      <c r="L54" s="91">
        <v>0.70972861528077757</v>
      </c>
    </row>
    <row r="55" spans="1:12">
      <c r="A55" s="47" t="s">
        <v>142</v>
      </c>
      <c r="B55" s="9" t="s">
        <v>202</v>
      </c>
      <c r="C55" s="314"/>
      <c r="D55" s="6"/>
      <c r="E55" s="10" t="s">
        <v>100</v>
      </c>
      <c r="F55" s="31"/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7">
        <v>0</v>
      </c>
      <c r="F56" s="31">
        <v>0.33711285200179936</v>
      </c>
      <c r="G56" s="10">
        <v>5.8809484092328931E-2</v>
      </c>
      <c r="H56" s="31">
        <v>0.39766479535191362</v>
      </c>
      <c r="I56" s="10">
        <v>0.18308870196570304</v>
      </c>
      <c r="J56" s="31">
        <v>0.39798835124190063</v>
      </c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1">
        <v>1.4663655333150548E-2</v>
      </c>
      <c r="H57" s="31">
        <v>0.53434665949755866</v>
      </c>
      <c r="I57" s="17">
        <v>0.13996869502030768</v>
      </c>
      <c r="J57" s="31">
        <v>0.88087811096112301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0">
        <v>1.3912963773514152E-2</v>
      </c>
      <c r="H58" s="31">
        <v>0.62665273707178848</v>
      </c>
      <c r="I58" s="17">
        <v>0.28761399699528345</v>
      </c>
      <c r="J58" s="31">
        <v>0.88087811096112301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1">
        <v>2.9869448644489491E-3</v>
      </c>
      <c r="H59" s="31">
        <v>0.51472390824979142</v>
      </c>
      <c r="I59" s="10">
        <v>1.742790111479663E-2</v>
      </c>
      <c r="J59" s="31">
        <v>0.45856466603671708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1">
        <v>1.1451330119100142E-3</v>
      </c>
      <c r="H60" s="31">
        <v>0.55773170568579689</v>
      </c>
      <c r="I60" s="10">
        <v>0.56077293719045018</v>
      </c>
      <c r="J60" s="31">
        <v>0.303788567224622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2.1694847959391372E-2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1">
        <v>1.8699657710940019E-3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1">
        <v>5.8115145352766696E-3</v>
      </c>
      <c r="L63" s="91">
        <v>0.37996664956803455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13">
        <v>1.2175990713362686E-8</v>
      </c>
      <c r="L64" s="91">
        <v>0.37996664956803455</v>
      </c>
    </row>
    <row r="65" spans="1:13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3">
      <c r="A66" s="45" t="s">
        <v>152</v>
      </c>
      <c r="B66" s="44"/>
      <c r="C66" s="314"/>
      <c r="D66" s="33"/>
      <c r="E66" s="7"/>
      <c r="F66" s="8"/>
      <c r="G66" s="17"/>
      <c r="H66" s="29"/>
      <c r="I66" s="10"/>
      <c r="J66" s="6"/>
      <c r="K66" s="10"/>
      <c r="L66" s="10"/>
    </row>
    <row r="67" spans="1:13">
      <c r="A67" s="47" t="s">
        <v>107</v>
      </c>
      <c r="B67" s="9" t="s">
        <v>191</v>
      </c>
      <c r="C67" s="314"/>
      <c r="D67" s="33"/>
      <c r="E67" s="7">
        <v>3.5747963989317899</v>
      </c>
      <c r="F67" s="31">
        <v>0.8007228197630829</v>
      </c>
      <c r="G67" s="17">
        <v>2.561128673590471</v>
      </c>
      <c r="H67" s="31">
        <v>0.53627235728890632</v>
      </c>
      <c r="I67" s="7">
        <v>21.445872279815315</v>
      </c>
      <c r="J67" s="31">
        <v>0.88087811096112301</v>
      </c>
      <c r="K67" s="7">
        <v>7.6075699152432197</v>
      </c>
      <c r="L67" s="91">
        <v>0.43625642305615547</v>
      </c>
    </row>
    <row r="68" spans="1:13">
      <c r="A68" s="47" t="s">
        <v>109</v>
      </c>
      <c r="B68" s="9" t="s">
        <v>191</v>
      </c>
      <c r="C68" s="314"/>
      <c r="D68" s="6"/>
      <c r="E68" s="7">
        <v>0</v>
      </c>
      <c r="F68" s="98">
        <v>0.8007228197630829</v>
      </c>
      <c r="G68" s="17">
        <v>7.077495516847307</v>
      </c>
      <c r="H68" s="31">
        <v>0.60009321892861345</v>
      </c>
      <c r="I68" s="7">
        <v>78.441141144794429</v>
      </c>
      <c r="J68" s="31">
        <v>0.88087811096112301</v>
      </c>
      <c r="K68" s="7">
        <v>0</v>
      </c>
      <c r="L68" s="91">
        <v>0.21953064254859611</v>
      </c>
    </row>
    <row r="69" spans="1:13">
      <c r="A69" s="47" t="s">
        <v>153</v>
      </c>
      <c r="B69" s="9" t="s">
        <v>190</v>
      </c>
      <c r="C69" s="314"/>
      <c r="D69" s="6"/>
      <c r="E69" s="17">
        <v>0.23290329662471301</v>
      </c>
      <c r="F69" s="98">
        <v>0.8007228197630829</v>
      </c>
      <c r="G69" s="10">
        <v>2.4779105583903761E-2</v>
      </c>
      <c r="H69" s="31">
        <v>0.59816752113726579</v>
      </c>
      <c r="I69" s="10">
        <v>0.22156858333323143</v>
      </c>
      <c r="J69" s="31">
        <v>0.75712568115550749</v>
      </c>
      <c r="K69" s="11">
        <v>8.0417861802780204E-3</v>
      </c>
      <c r="L69" s="91">
        <v>0.52208822651187903</v>
      </c>
    </row>
    <row r="70" spans="1:13">
      <c r="A70" s="47" t="s">
        <v>154</v>
      </c>
      <c r="B70" s="9" t="s">
        <v>190</v>
      </c>
      <c r="C70" s="314"/>
      <c r="D70" s="6"/>
      <c r="E70" s="7">
        <v>0</v>
      </c>
      <c r="F70" s="98">
        <v>0.46360996776128355</v>
      </c>
      <c r="G70" s="7">
        <v>0</v>
      </c>
      <c r="H70" s="31">
        <v>0.11021257265624919</v>
      </c>
      <c r="I70" s="11">
        <v>6.6750880726074591E-3</v>
      </c>
      <c r="J70" s="31">
        <v>0.19624238525917928</v>
      </c>
      <c r="K70" s="13">
        <v>2.01098726056317E-5</v>
      </c>
      <c r="L70" s="91">
        <v>0.23005965712742979</v>
      </c>
    </row>
    <row r="71" spans="1:13">
      <c r="A71" s="47" t="s">
        <v>142</v>
      </c>
      <c r="B71" s="9" t="s">
        <v>202</v>
      </c>
      <c r="C71" s="314"/>
      <c r="D71" s="6"/>
      <c r="E71" s="7">
        <v>0</v>
      </c>
      <c r="F71" s="98">
        <v>0.33711285200179936</v>
      </c>
      <c r="G71" s="17"/>
      <c r="H71" s="29"/>
      <c r="I71" s="10"/>
      <c r="J71" s="6"/>
      <c r="K71" s="10"/>
      <c r="L71" s="10"/>
    </row>
    <row r="72" spans="1:13">
      <c r="A72" s="47" t="s">
        <v>155</v>
      </c>
      <c r="B72" s="9" t="s">
        <v>190</v>
      </c>
      <c r="C72" s="314"/>
      <c r="D72" s="6"/>
      <c r="E72" s="7"/>
      <c r="F72" s="8"/>
      <c r="G72" s="50">
        <v>2.4177340524142586E-2</v>
      </c>
      <c r="H72" s="31">
        <v>0.50559354072978158</v>
      </c>
      <c r="I72" s="17">
        <v>0.32243099913632017</v>
      </c>
      <c r="J72" s="31">
        <v>0.42970082424406042</v>
      </c>
      <c r="K72" s="10"/>
      <c r="L72" s="10"/>
    </row>
    <row r="73" spans="1:13">
      <c r="A73" s="47" t="s">
        <v>156</v>
      </c>
      <c r="B73" s="9" t="s">
        <v>202</v>
      </c>
      <c r="C73" s="314"/>
      <c r="D73" s="6"/>
      <c r="E73" s="7"/>
      <c r="F73" s="8"/>
      <c r="G73" s="65">
        <v>0.10854237057882628</v>
      </c>
      <c r="H73" s="31">
        <v>0.55198525174632351</v>
      </c>
      <c r="I73" s="10">
        <v>0.54663201496942915</v>
      </c>
      <c r="J73" s="31">
        <v>0.36436578104751616</v>
      </c>
      <c r="K73" s="10"/>
      <c r="L73" s="10"/>
    </row>
    <row r="74" spans="1:13">
      <c r="A74" s="47"/>
      <c r="B74" s="9"/>
      <c r="C74" s="314"/>
      <c r="D74" s="6"/>
      <c r="E74" s="11"/>
      <c r="F74" s="8"/>
      <c r="G74" s="17"/>
      <c r="H74" s="29"/>
      <c r="I74" s="17"/>
      <c r="J74" s="29"/>
      <c r="K74" s="10"/>
      <c r="L74" s="10"/>
    </row>
    <row r="75" spans="1:13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3">
      <c r="A76" s="47" t="s">
        <v>158</v>
      </c>
      <c r="B76" s="9" t="s">
        <v>190</v>
      </c>
      <c r="C76" s="314"/>
      <c r="D76" s="6"/>
      <c r="E76" s="7">
        <v>29.0461588690215</v>
      </c>
      <c r="F76" s="98">
        <v>0.65676535087719301</v>
      </c>
      <c r="G76" s="17"/>
      <c r="H76" s="29"/>
      <c r="I76" s="17"/>
      <c r="J76" s="29"/>
      <c r="K76" s="10"/>
      <c r="L76" s="10"/>
      <c r="M76" s="101"/>
    </row>
    <row r="77" spans="1:13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2.5963819982078586</v>
      </c>
      <c r="J77" s="31">
        <v>0.29614228131749459</v>
      </c>
      <c r="K77" s="10"/>
      <c r="L77" s="10"/>
      <c r="M77" s="101"/>
    </row>
    <row r="78" spans="1:13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1.0415374960092711</v>
      </c>
      <c r="J78" s="31">
        <v>0.23951134179265662</v>
      </c>
      <c r="K78" s="10"/>
      <c r="L78" s="10"/>
    </row>
    <row r="79" spans="1:13">
      <c r="A79" s="47" t="s">
        <v>161</v>
      </c>
      <c r="B79" s="9" t="s">
        <v>190</v>
      </c>
      <c r="C79" s="314"/>
      <c r="D79" s="6"/>
      <c r="E79" s="7"/>
      <c r="F79" s="8"/>
      <c r="G79" s="17">
        <v>3.1514427636760938</v>
      </c>
      <c r="H79" s="31">
        <v>0.62472703928044082</v>
      </c>
      <c r="I79" s="17">
        <v>5.8117858316383837E-2</v>
      </c>
      <c r="J79" s="31">
        <v>0.37162883774298061</v>
      </c>
      <c r="K79" s="10">
        <v>0.144363759216037</v>
      </c>
      <c r="L79" s="91">
        <v>0.43850336663066952</v>
      </c>
    </row>
    <row r="80" spans="1:13">
      <c r="A80" s="47" t="s">
        <v>112</v>
      </c>
      <c r="B80" s="9" t="s">
        <v>190</v>
      </c>
      <c r="C80" s="314"/>
      <c r="D80" s="6"/>
      <c r="E80" s="7"/>
      <c r="F80" s="8"/>
      <c r="G80" s="17">
        <v>0.56714516241657731</v>
      </c>
      <c r="H80" s="31">
        <v>0.2995148779087457</v>
      </c>
      <c r="I80" s="17">
        <v>4.6364732629456</v>
      </c>
      <c r="J80" s="31">
        <v>0.55914471112311015</v>
      </c>
      <c r="K80" s="10"/>
      <c r="L80" s="10"/>
    </row>
    <row r="81" spans="1:13">
      <c r="A81" s="47" t="s">
        <v>162</v>
      </c>
      <c r="B81" s="9" t="s">
        <v>190</v>
      </c>
      <c r="C81" s="314"/>
      <c r="D81" s="6"/>
      <c r="E81" s="7"/>
      <c r="F81" s="8"/>
      <c r="G81" s="7"/>
      <c r="H81" s="8"/>
      <c r="I81" s="10"/>
      <c r="J81" s="6"/>
      <c r="K81" s="10">
        <v>14.3665788722003</v>
      </c>
      <c r="L81" s="91">
        <v>0.92270148785097195</v>
      </c>
      <c r="M81" s="102"/>
    </row>
    <row r="82" spans="1:13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10">
        <v>0.27893543210955413</v>
      </c>
      <c r="L82" s="91">
        <v>0.4190827483801296</v>
      </c>
    </row>
    <row r="83" spans="1:13">
      <c r="A83" s="47" t="s">
        <v>137</v>
      </c>
      <c r="B83" s="9" t="s">
        <v>190</v>
      </c>
      <c r="C83" s="314"/>
      <c r="D83" s="6"/>
      <c r="E83" s="7">
        <v>0</v>
      </c>
      <c r="F83" s="98">
        <v>0.46360996776128355</v>
      </c>
      <c r="G83" s="7">
        <v>3.736738427870967</v>
      </c>
      <c r="H83" s="31">
        <v>0.19268621883303322</v>
      </c>
      <c r="I83" s="10"/>
      <c r="J83" s="6"/>
      <c r="K83" s="10"/>
      <c r="L83" s="10"/>
    </row>
    <row r="84" spans="1:13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</row>
    <row r="85" spans="1:13">
      <c r="A85" s="45" t="s">
        <v>164</v>
      </c>
      <c r="B85" s="44"/>
      <c r="C85" s="314"/>
      <c r="D85" s="31"/>
      <c r="E85" s="7"/>
      <c r="F85" s="8"/>
      <c r="G85" s="7"/>
      <c r="H85" s="8"/>
      <c r="I85" s="10"/>
      <c r="J85" s="6"/>
      <c r="K85" s="10"/>
      <c r="L85" s="10"/>
    </row>
    <row r="86" spans="1:13">
      <c r="A86" s="47" t="s">
        <v>165</v>
      </c>
      <c r="B86" s="9" t="s">
        <v>190</v>
      </c>
      <c r="C86" s="314"/>
      <c r="D86" s="6"/>
      <c r="E86" s="7"/>
      <c r="F86" s="8"/>
      <c r="G86" s="7"/>
      <c r="H86" s="8"/>
      <c r="I86" s="10"/>
      <c r="J86" s="6"/>
      <c r="K86" s="10"/>
      <c r="L86" s="10"/>
    </row>
    <row r="87" spans="1:13">
      <c r="A87" s="47" t="s">
        <v>231</v>
      </c>
      <c r="B87" s="9" t="s">
        <v>190</v>
      </c>
      <c r="C87" s="314"/>
      <c r="D87" s="6"/>
      <c r="E87" s="7"/>
      <c r="F87" s="8"/>
      <c r="G87" s="7"/>
      <c r="H87" s="8"/>
      <c r="I87" s="10"/>
      <c r="J87" s="6"/>
      <c r="K87" s="10"/>
      <c r="L87" s="10"/>
      <c r="M87" s="101"/>
    </row>
    <row r="88" spans="1:13">
      <c r="A88" s="47" t="s">
        <v>166</v>
      </c>
      <c r="B88" s="9" t="s">
        <v>190</v>
      </c>
      <c r="C88" s="314"/>
      <c r="D88" s="6"/>
      <c r="E88" s="7">
        <v>846.90457578839801</v>
      </c>
      <c r="F88" s="98">
        <v>1</v>
      </c>
      <c r="G88" s="7"/>
      <c r="H88" s="8"/>
      <c r="I88" s="10"/>
      <c r="J88" s="6"/>
      <c r="K88" s="10"/>
      <c r="L88" s="10"/>
    </row>
    <row r="89" spans="1:13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7">
        <v>11.985561274753941</v>
      </c>
      <c r="J89" s="31">
        <v>0.88087811096112301</v>
      </c>
      <c r="K89" s="10"/>
      <c r="L89" s="10"/>
    </row>
    <row r="90" spans="1:13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7">
        <v>1.976090070185399</v>
      </c>
      <c r="J90" s="31">
        <v>0.27707046706263505</v>
      </c>
      <c r="K90" s="10"/>
      <c r="L90" s="10"/>
    </row>
    <row r="91" spans="1:13">
      <c r="A91" s="47" t="s">
        <v>169</v>
      </c>
      <c r="B91" s="9" t="s">
        <v>190</v>
      </c>
      <c r="C91" s="314"/>
      <c r="D91" s="6"/>
      <c r="E91" s="7"/>
      <c r="F91" s="8"/>
      <c r="G91" s="7">
        <v>11.350965458813002</v>
      </c>
      <c r="H91" s="31">
        <v>0.42727581615998061</v>
      </c>
      <c r="I91" s="17">
        <v>32.731652784898131</v>
      </c>
      <c r="J91" s="31">
        <v>0.71139700944924411</v>
      </c>
      <c r="K91" s="10"/>
      <c r="L91" s="10"/>
    </row>
    <row r="92" spans="1:13">
      <c r="A92" s="47" t="s">
        <v>170</v>
      </c>
      <c r="B92" s="9" t="s">
        <v>190</v>
      </c>
      <c r="C92" s="314"/>
      <c r="D92" s="6"/>
      <c r="E92" s="7"/>
      <c r="F92" s="8"/>
      <c r="G92" s="10">
        <v>6.3679094145605672E-2</v>
      </c>
      <c r="H92" s="31">
        <v>0.30268934986368257</v>
      </c>
      <c r="I92" s="7">
        <v>1.0388489166264394</v>
      </c>
      <c r="J92" s="31">
        <v>0.29522624460043195</v>
      </c>
      <c r="K92" s="10"/>
      <c r="L92" s="10"/>
    </row>
    <row r="93" spans="1:13">
      <c r="A93" s="47" t="s">
        <v>171</v>
      </c>
      <c r="B93" s="9" t="s">
        <v>190</v>
      </c>
      <c r="C93" s="314"/>
      <c r="D93" s="6"/>
      <c r="E93" s="7"/>
      <c r="F93" s="8"/>
      <c r="G93" s="7">
        <v>1.3803189879648639</v>
      </c>
      <c r="H93" s="31">
        <v>0.62472703928044082</v>
      </c>
      <c r="I93" s="17">
        <v>0.46574862166134601</v>
      </c>
      <c r="J93" s="31">
        <v>0.44299195869330454</v>
      </c>
      <c r="K93" s="10">
        <v>0.38877721900838202</v>
      </c>
      <c r="L93" s="91">
        <v>0.50158732991360688</v>
      </c>
    </row>
    <row r="94" spans="1:13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7">
        <v>0</v>
      </c>
      <c r="L94" s="91">
        <v>0.47592940064794814</v>
      </c>
    </row>
    <row r="95" spans="1:13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10">
        <v>1.6864468434345421E-2</v>
      </c>
      <c r="L95" s="91">
        <v>0.40052532964362852</v>
      </c>
    </row>
    <row r="96" spans="1:13">
      <c r="A96" s="47" t="s">
        <v>172</v>
      </c>
      <c r="B96" s="9" t="s">
        <v>190</v>
      </c>
      <c r="C96" s="314"/>
      <c r="D96" s="6"/>
      <c r="E96" s="7">
        <v>63.879387440215027</v>
      </c>
      <c r="F96" s="98">
        <v>0.8007228197630829</v>
      </c>
      <c r="G96" s="17">
        <v>4.6907568217792983</v>
      </c>
      <c r="H96" s="31">
        <v>0.45700980625809251</v>
      </c>
      <c r="I96" s="10"/>
      <c r="J96" s="6"/>
      <c r="K96" s="10">
        <v>9.3562975802023884E-2</v>
      </c>
      <c r="L96" s="91">
        <v>0.45986325593952482</v>
      </c>
    </row>
    <row r="97" spans="1:17">
      <c r="A97" s="47" t="s">
        <v>173</v>
      </c>
      <c r="B97" s="9" t="s">
        <v>190</v>
      </c>
      <c r="C97" s="315"/>
      <c r="D97" s="180"/>
      <c r="E97" s="35">
        <v>4.9821882846204097</v>
      </c>
      <c r="F97" s="190">
        <v>0.8007228197630829</v>
      </c>
      <c r="G97" s="103">
        <v>3.9452624571910313</v>
      </c>
      <c r="H97" s="191">
        <v>0.45700980625809251</v>
      </c>
      <c r="I97" s="14"/>
      <c r="J97" s="180"/>
      <c r="K97" s="14">
        <v>7.1531902243943096E-2</v>
      </c>
      <c r="L97" s="99">
        <v>0.39452983261339092</v>
      </c>
      <c r="M97" s="276"/>
    </row>
    <row r="98" spans="1:17">
      <c r="A98" s="44"/>
      <c r="B98" s="44"/>
      <c r="C98" s="44"/>
      <c r="D98" s="44"/>
      <c r="E98" s="10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24"/>
      <c r="F99" s="24"/>
      <c r="G99" s="100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1455.31924341586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/>
      <c r="D101" s="266"/>
      <c r="E101" s="266">
        <v>519</v>
      </c>
      <c r="F101" s="266"/>
      <c r="G101" s="266">
        <v>84</v>
      </c>
      <c r="H101" s="266"/>
      <c r="I101" s="266"/>
      <c r="J101" s="266"/>
      <c r="K101" s="266">
        <v>30</v>
      </c>
      <c r="L101" s="266"/>
    </row>
    <row r="102" spans="1:17">
      <c r="A102" s="264" t="s">
        <v>234</v>
      </c>
      <c r="B102" s="265" t="s">
        <v>190</v>
      </c>
      <c r="C102" s="267"/>
      <c r="D102" s="267"/>
      <c r="E102" s="267">
        <v>9.9000000000000008E-3</v>
      </c>
      <c r="F102" s="267"/>
      <c r="G102" s="267">
        <v>2.8E-3</v>
      </c>
      <c r="H102" s="267"/>
      <c r="I102" s="267"/>
      <c r="J102" s="267"/>
      <c r="K102" s="267">
        <v>8.0000000000000004E-4</v>
      </c>
      <c r="L102" s="267"/>
    </row>
    <row r="103" spans="1:17">
      <c r="A103" s="264" t="s">
        <v>235</v>
      </c>
      <c r="B103" s="265" t="s">
        <v>190</v>
      </c>
      <c r="C103" s="268"/>
      <c r="D103" s="268"/>
      <c r="E103" s="274">
        <v>1E-3</v>
      </c>
      <c r="F103" s="268"/>
      <c r="G103" s="268">
        <v>5.0000000000000001E-4</v>
      </c>
      <c r="H103" s="268"/>
      <c r="I103" s="268"/>
      <c r="J103" s="268"/>
      <c r="K103" s="268">
        <v>1E-4</v>
      </c>
      <c r="L103" s="268"/>
    </row>
    <row r="107" spans="1:17">
      <c r="G107" s="277"/>
    </row>
  </sheetData>
  <mergeCells count="7">
    <mergeCell ref="C11:C97"/>
    <mergeCell ref="D4:E4"/>
    <mergeCell ref="G4:H4"/>
    <mergeCell ref="J4:K4"/>
    <mergeCell ref="D5:E5"/>
    <mergeCell ref="G5:H5"/>
    <mergeCell ref="J5:K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03"/>
  <sheetViews>
    <sheetView zoomScale="70" zoomScaleNormal="70" workbookViewId="0">
      <pane xSplit="2" ySplit="9" topLeftCell="C10" activePane="bottomRight" state="frozen"/>
      <selection pane="topRight" activeCell="J20" sqref="J20"/>
      <selection pane="bottomLeft" activeCell="J20" sqref="J20"/>
      <selection pane="bottomRight" activeCell="E38" sqref="E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35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05">
        <v>0.52625886727971904</v>
      </c>
      <c r="D4" s="312" t="s">
        <v>176</v>
      </c>
      <c r="E4" s="313"/>
      <c r="F4" s="105">
        <v>5570000</v>
      </c>
      <c r="G4" s="206"/>
      <c r="H4" s="207" t="s">
        <v>177</v>
      </c>
      <c r="I4" s="22">
        <v>1944000</v>
      </c>
      <c r="J4" s="223"/>
      <c r="K4" s="204" t="s">
        <v>178</v>
      </c>
      <c r="L4" s="208">
        <f>I4/(I4+I5)</f>
        <v>0.43962008141112618</v>
      </c>
      <c r="M4" s="169"/>
      <c r="Q4" s="44"/>
    </row>
    <row r="5" spans="1:17">
      <c r="A5" s="209"/>
      <c r="B5" s="210" t="s">
        <v>179</v>
      </c>
      <c r="C5" s="211">
        <v>0.51905320876808803</v>
      </c>
      <c r="D5" s="312" t="s">
        <v>207</v>
      </c>
      <c r="E5" s="313"/>
      <c r="F5" s="23">
        <v>4467000</v>
      </c>
      <c r="G5" s="212"/>
      <c r="H5" s="213" t="s">
        <v>181</v>
      </c>
      <c r="I5" s="23">
        <v>2478000</v>
      </c>
      <c r="J5" s="224"/>
      <c r="K5" s="210" t="s">
        <v>178</v>
      </c>
      <c r="L5" s="214">
        <f>I5/(I4+I5)</f>
        <v>0.56037991858887382</v>
      </c>
      <c r="M5" s="169"/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>
        <v>1.928031824074711</v>
      </c>
      <c r="F9" s="221" t="s">
        <v>208</v>
      </c>
      <c r="G9" s="4">
        <f>(C4*L4)+(C5*L5)</f>
        <v>0.52222096094959203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>
      <c r="A11" s="46" t="s">
        <v>98</v>
      </c>
      <c r="B11" s="48" t="s">
        <v>189</v>
      </c>
      <c r="C11" s="314" t="s">
        <v>209</v>
      </c>
      <c r="D11" s="8"/>
      <c r="E11" s="7">
        <v>8536.5300000000007</v>
      </c>
      <c r="F11" s="31">
        <v>0.81198389902016499</v>
      </c>
      <c r="G11" s="7"/>
      <c r="H11" s="8"/>
      <c r="I11" s="7">
        <v>4621.4271241238121</v>
      </c>
      <c r="J11" s="31">
        <v>0.87566694708276793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>
        <v>0</v>
      </c>
      <c r="F12" s="31">
        <v>0.81198389902016499</v>
      </c>
      <c r="G12" s="7"/>
      <c r="H12" s="8"/>
      <c r="I12" s="7">
        <v>0</v>
      </c>
      <c r="J12" s="31">
        <v>0.87566694708276793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>
        <v>1228.8748771922433</v>
      </c>
      <c r="F13" s="31">
        <v>0.81198389902016499</v>
      </c>
      <c r="G13" s="7"/>
      <c r="H13" s="8"/>
      <c r="I13" s="7">
        <v>7533.1410922551868</v>
      </c>
      <c r="J13" s="31">
        <v>0.87566694708276793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>
        <v>2546.2350016861174</v>
      </c>
      <c r="F16" s="31">
        <v>0.81198389902016499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>
        <v>52.065848718749329</v>
      </c>
      <c r="F17" s="31">
        <v>0.81198389902016499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>
        <v>88.496503075315886</v>
      </c>
      <c r="F18" s="31">
        <v>0.81198389902016499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6"/>
      <c r="E19" s="7">
        <v>16.650079486404078</v>
      </c>
      <c r="F19" s="31">
        <v>0.81198389902016499</v>
      </c>
      <c r="G19" s="17" t="s">
        <v>100</v>
      </c>
      <c r="H19" s="31"/>
      <c r="I19" s="7" t="s">
        <v>100</v>
      </c>
      <c r="J19" s="31"/>
      <c r="K19" s="10" t="s">
        <v>100</v>
      </c>
      <c r="L19" s="91"/>
    </row>
    <row r="20" spans="1:12">
      <c r="A20" s="47" t="s">
        <v>109</v>
      </c>
      <c r="B20" s="9" t="s">
        <v>191</v>
      </c>
      <c r="C20" s="314"/>
      <c r="D20" s="31"/>
      <c r="E20" s="7">
        <v>0</v>
      </c>
      <c r="F20" s="31">
        <v>0.81198389902016499</v>
      </c>
      <c r="G20" s="7">
        <v>0</v>
      </c>
      <c r="H20" s="31">
        <v>3.8804091758251294E-2</v>
      </c>
      <c r="I20" s="7">
        <v>0</v>
      </c>
      <c r="J20" s="31">
        <v>0.87566694708276793</v>
      </c>
      <c r="K20" s="10" t="s">
        <v>100</v>
      </c>
      <c r="L20" s="91"/>
    </row>
    <row r="21" spans="1:12">
      <c r="A21" s="47" t="s">
        <v>192</v>
      </c>
      <c r="B21" s="9" t="s">
        <v>190</v>
      </c>
      <c r="C21" s="314"/>
      <c r="D21" s="31"/>
      <c r="E21" s="7"/>
      <c r="F21" s="8"/>
      <c r="G21" s="7">
        <v>733.95153942804131</v>
      </c>
      <c r="H21" s="31">
        <v>0.79434169990954318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256.79503763130043</v>
      </c>
      <c r="H22" s="31">
        <v>0.79434169990954318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17" t="s">
        <v>100</v>
      </c>
      <c r="H23" s="31"/>
      <c r="I23" s="7" t="s">
        <v>100</v>
      </c>
      <c r="J23" s="31"/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 t="s">
        <v>100</v>
      </c>
      <c r="H24" s="31"/>
      <c r="I24" s="7" t="s">
        <v>100</v>
      </c>
      <c r="J24" s="31"/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1922.1099315127187</v>
      </c>
      <c r="J25" s="31">
        <v>0.87566694708276793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(C4*L4+C5*L5)*1000</f>
        <v>522.22096094959204</v>
      </c>
      <c r="J26" s="31">
        <v>0.93971258604838026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8.939705282313934</v>
      </c>
      <c r="J27" s="31">
        <v>0.87566694708276793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22.685165342886645</v>
      </c>
      <c r="J28" s="31">
        <v>0.87566694708276793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0.88104586815920394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11.827169329136401</v>
      </c>
      <c r="L30" s="91">
        <v>0.88104586815920394</v>
      </c>
    </row>
    <row r="31" spans="1:12" ht="18.7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1">
        <v>2.9234952295471906E-3</v>
      </c>
      <c r="L31" s="91">
        <v>0.70473288760741748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17">
        <v>0.91593106962428006</v>
      </c>
      <c r="L32" s="91">
        <v>0.88104586815920394</v>
      </c>
    </row>
    <row r="33" spans="1:12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0</v>
      </c>
      <c r="L33" s="91">
        <v>0.33714970601537764</v>
      </c>
    </row>
    <row r="34" spans="1:12" s="25" customFormat="1">
      <c r="A34" s="47"/>
      <c r="B34" s="9"/>
      <c r="C34" s="314"/>
      <c r="D34" s="37"/>
      <c r="E34" s="7"/>
      <c r="F34" s="8"/>
      <c r="G34" s="10"/>
      <c r="H34" s="6"/>
      <c r="I34" s="10"/>
      <c r="J34" s="6"/>
      <c r="K34" s="10"/>
      <c r="L34" s="91"/>
    </row>
    <row r="35" spans="1:12" s="25" customFormat="1">
      <c r="A35" s="34" t="s">
        <v>120</v>
      </c>
      <c r="B35" s="9"/>
      <c r="C35" s="314"/>
      <c r="D35" s="37"/>
      <c r="E35" s="186"/>
      <c r="F35" s="187"/>
      <c r="G35" s="186"/>
      <c r="H35" s="187"/>
      <c r="I35" s="186"/>
      <c r="J35" s="187"/>
      <c r="K35" s="227"/>
      <c r="L35" s="227"/>
    </row>
    <row r="36" spans="1:12">
      <c r="A36" s="92" t="s">
        <v>121</v>
      </c>
      <c r="B36" s="93" t="s">
        <v>191</v>
      </c>
      <c r="C36" s="314"/>
      <c r="D36" s="31"/>
      <c r="E36" s="17">
        <v>7.6731596747299822</v>
      </c>
      <c r="F36" s="98">
        <v>0.81198389902016499</v>
      </c>
      <c r="G36" s="10" t="s">
        <v>100</v>
      </c>
      <c r="H36" s="185"/>
      <c r="I36" s="17" t="s">
        <v>100</v>
      </c>
      <c r="J36" s="98"/>
      <c r="K36" s="17" t="s">
        <v>100</v>
      </c>
      <c r="L36" s="228"/>
    </row>
    <row r="37" spans="1:12">
      <c r="A37" s="92" t="s">
        <v>122</v>
      </c>
      <c r="B37" s="93" t="s">
        <v>191</v>
      </c>
      <c r="C37" s="314"/>
      <c r="D37" s="31"/>
      <c r="E37" s="7">
        <v>0</v>
      </c>
      <c r="F37" s="98">
        <v>0.81198389902016499</v>
      </c>
      <c r="G37" s="7">
        <v>0</v>
      </c>
      <c r="H37" s="98">
        <v>3.8804091758251294E-2</v>
      </c>
      <c r="I37" s="7">
        <v>0</v>
      </c>
      <c r="J37" s="98">
        <v>0.87566694708276793</v>
      </c>
      <c r="K37" s="17" t="s">
        <v>100</v>
      </c>
      <c r="L37" s="228"/>
    </row>
    <row r="38" spans="1:12">
      <c r="A38" s="47" t="s">
        <v>123</v>
      </c>
      <c r="B38" s="9" t="s">
        <v>210</v>
      </c>
      <c r="C38" s="314"/>
      <c r="D38" s="31"/>
      <c r="E38" s="286">
        <v>1.94714419604643</v>
      </c>
      <c r="F38" s="98">
        <v>1</v>
      </c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17" t="s">
        <v>198</v>
      </c>
      <c r="F39" s="98">
        <v>1</v>
      </c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6"/>
      <c r="E40" s="17" t="s">
        <v>100</v>
      </c>
      <c r="F40" s="185"/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6"/>
      <c r="E41" s="13">
        <v>2.0974061275741306E-5</v>
      </c>
      <c r="F41" s="98">
        <v>1</v>
      </c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31"/>
      <c r="E42" s="186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31"/>
      <c r="E43" s="186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0</v>
      </c>
      <c r="F44" s="98">
        <v>0.80523637266339931</v>
      </c>
      <c r="G44" s="7">
        <v>1213.265986509419</v>
      </c>
      <c r="H44" s="31">
        <v>0.79434169990954318</v>
      </c>
      <c r="I44" s="186"/>
      <c r="J44" s="187"/>
      <c r="K44" s="7">
        <v>44.293769931318053</v>
      </c>
      <c r="L44" s="171">
        <v>0.96832461632745359</v>
      </c>
    </row>
    <row r="45" spans="1:12">
      <c r="A45" s="47" t="s">
        <v>133</v>
      </c>
      <c r="B45" s="9" t="s">
        <v>201</v>
      </c>
      <c r="C45" s="314"/>
      <c r="D45" s="31"/>
      <c r="E45" s="7">
        <v>0</v>
      </c>
      <c r="F45" s="98">
        <v>0.80523637266339931</v>
      </c>
      <c r="G45" s="7">
        <v>3.9368491295260912</v>
      </c>
      <c r="H45" s="31">
        <v>0.79434169990954318</v>
      </c>
      <c r="I45" s="186"/>
      <c r="J45" s="187"/>
      <c r="K45" s="7">
        <v>2.3181712309154419</v>
      </c>
      <c r="L45" s="171">
        <v>0.96832461632745359</v>
      </c>
    </row>
    <row r="46" spans="1:12">
      <c r="A46" s="47" t="s">
        <v>134</v>
      </c>
      <c r="B46" s="9" t="s">
        <v>201</v>
      </c>
      <c r="C46" s="314"/>
      <c r="D46" s="31"/>
      <c r="E46" s="7">
        <v>14302.019279347407</v>
      </c>
      <c r="F46" s="98">
        <v>0.80523637266339931</v>
      </c>
      <c r="G46" s="7">
        <v>277.62235757863215</v>
      </c>
      <c r="H46" s="31">
        <v>0.79434169990954295</v>
      </c>
      <c r="I46" s="186"/>
      <c r="J46" s="187"/>
      <c r="K46" s="7">
        <v>243.51722033756107</v>
      </c>
      <c r="L46" s="171">
        <v>0.96832461632745359</v>
      </c>
    </row>
    <row r="47" spans="1:12">
      <c r="A47" s="47" t="s">
        <v>135</v>
      </c>
      <c r="B47" s="9" t="s">
        <v>201</v>
      </c>
      <c r="C47" s="314"/>
      <c r="D47" s="6"/>
      <c r="E47" s="7">
        <v>0</v>
      </c>
      <c r="F47" s="98">
        <v>0.80523637266339931</v>
      </c>
      <c r="G47" s="7">
        <v>0</v>
      </c>
      <c r="H47" s="31">
        <v>0.79434169990954295</v>
      </c>
      <c r="I47" s="186"/>
      <c r="J47" s="187"/>
      <c r="K47" s="7">
        <v>0</v>
      </c>
      <c r="L47" s="171">
        <v>0.96832461632745359</v>
      </c>
    </row>
    <row r="48" spans="1:12">
      <c r="A48" s="47" t="s">
        <v>136</v>
      </c>
      <c r="B48" s="9" t="s">
        <v>201</v>
      </c>
      <c r="C48" s="314"/>
      <c r="D48" s="6"/>
      <c r="E48" s="7">
        <v>479.30426451461472</v>
      </c>
      <c r="F48" s="98">
        <v>0.80523637266339931</v>
      </c>
      <c r="G48" s="7">
        <v>545.24642494676164</v>
      </c>
      <c r="H48" s="31">
        <v>0.79434169990954295</v>
      </c>
      <c r="I48" s="7">
        <v>57551.541136759035</v>
      </c>
      <c r="J48" s="98">
        <v>1</v>
      </c>
      <c r="K48" s="7">
        <v>391.78313854072809</v>
      </c>
      <c r="L48" s="171">
        <v>0.96832461632745359</v>
      </c>
    </row>
    <row r="49" spans="1:12">
      <c r="A49" s="47" t="s">
        <v>137</v>
      </c>
      <c r="B49" s="9" t="s">
        <v>201</v>
      </c>
      <c r="C49" s="314"/>
      <c r="D49" s="6"/>
      <c r="E49" s="7">
        <v>2.3441786631851858</v>
      </c>
      <c r="F49" s="98">
        <v>0.80523637266339931</v>
      </c>
      <c r="G49" s="7">
        <v>0</v>
      </c>
      <c r="H49" s="31">
        <v>0.79434169990954295</v>
      </c>
      <c r="I49" s="186"/>
      <c r="J49" s="187"/>
      <c r="K49" s="7">
        <v>3.49288561826177</v>
      </c>
      <c r="L49" s="171">
        <v>0.96832461632745359</v>
      </c>
    </row>
    <row r="50" spans="1:12">
      <c r="A50" s="47"/>
      <c r="B50" s="9"/>
      <c r="C50" s="314"/>
      <c r="D50" s="31"/>
      <c r="E50" s="10"/>
      <c r="F50" s="6"/>
      <c r="G50" s="10"/>
      <c r="H50" s="6"/>
      <c r="I50" s="10"/>
      <c r="J50" s="6"/>
      <c r="K50" s="10"/>
      <c r="L50" s="10"/>
    </row>
    <row r="51" spans="1:12" s="75" customFormat="1">
      <c r="A51" s="45" t="s">
        <v>138</v>
      </c>
      <c r="B51" s="44"/>
      <c r="C51" s="314"/>
      <c r="D51" s="74"/>
      <c r="E51" s="10"/>
      <c r="F51" s="6"/>
      <c r="G51" s="10"/>
      <c r="H51" s="6"/>
      <c r="I51" s="10"/>
      <c r="J51" s="6"/>
      <c r="K51" s="10"/>
      <c r="L51" s="10"/>
    </row>
    <row r="52" spans="1:12" s="75" customFormat="1">
      <c r="A52" s="47" t="s">
        <v>139</v>
      </c>
      <c r="B52" s="9" t="s">
        <v>190</v>
      </c>
      <c r="C52" s="314"/>
      <c r="D52" s="74"/>
      <c r="E52" s="17">
        <v>0.28297563425666433</v>
      </c>
      <c r="F52" s="31">
        <v>0.81198389902016499</v>
      </c>
      <c r="G52" s="17" t="s">
        <v>100</v>
      </c>
      <c r="H52" s="31"/>
      <c r="I52" s="7">
        <v>3.8423461908432173</v>
      </c>
      <c r="J52" s="31">
        <v>0.87566694708276793</v>
      </c>
      <c r="K52" s="10" t="s">
        <v>100</v>
      </c>
      <c r="L52" s="91"/>
    </row>
    <row r="53" spans="1:12">
      <c r="A53" s="47" t="s">
        <v>140</v>
      </c>
      <c r="B53" s="9" t="s">
        <v>190</v>
      </c>
      <c r="C53" s="314"/>
      <c r="D53" s="6"/>
      <c r="E53" s="11">
        <v>4.3340026408234325E-3</v>
      </c>
      <c r="F53" s="31">
        <v>0.81198389902016499</v>
      </c>
      <c r="G53" s="17" t="s">
        <v>100</v>
      </c>
      <c r="H53" s="31"/>
      <c r="I53" s="17">
        <v>7.4570517192705212</v>
      </c>
      <c r="J53" s="31">
        <v>0.87566694708276793</v>
      </c>
      <c r="K53" s="10" t="s">
        <v>100</v>
      </c>
      <c r="L53" s="91"/>
    </row>
    <row r="54" spans="1:12" ht="17">
      <c r="A54" s="47" t="s">
        <v>141</v>
      </c>
      <c r="B54" s="9" t="s">
        <v>190</v>
      </c>
      <c r="C54" s="314"/>
      <c r="D54" s="6"/>
      <c r="E54" s="17">
        <v>0.26164748894533479</v>
      </c>
      <c r="F54" s="31">
        <v>0.81198389902016499</v>
      </c>
      <c r="G54" s="17" t="s">
        <v>100</v>
      </c>
      <c r="H54" s="31"/>
      <c r="I54" s="17">
        <v>0.64906009330243053</v>
      </c>
      <c r="J54" s="31">
        <v>0.87566694708276793</v>
      </c>
      <c r="K54" s="10" t="s">
        <v>100</v>
      </c>
      <c r="L54" s="91"/>
    </row>
    <row r="55" spans="1:12">
      <c r="A55" s="47" t="s">
        <v>142</v>
      </c>
      <c r="B55" s="9" t="s">
        <v>202</v>
      </c>
      <c r="C55" s="314"/>
      <c r="D55" s="6"/>
      <c r="E55" s="10" t="s">
        <v>100</v>
      </c>
      <c r="F55" s="31"/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10" t="s">
        <v>100</v>
      </c>
      <c r="F56" s="31"/>
      <c r="G56" s="17" t="s">
        <v>100</v>
      </c>
      <c r="H56" s="31"/>
      <c r="I56" s="10" t="s">
        <v>100</v>
      </c>
      <c r="J56" s="31"/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7" t="s">
        <v>100</v>
      </c>
      <c r="H57" s="31"/>
      <c r="I57" s="7">
        <v>0.97982819706353763</v>
      </c>
      <c r="J57" s="31">
        <v>0.87566694708276793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7" t="s">
        <v>100</v>
      </c>
      <c r="H58" s="31"/>
      <c r="I58" s="17">
        <v>0.7079155358751632</v>
      </c>
      <c r="J58" s="31">
        <v>0.87566694708276793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7" t="s">
        <v>100</v>
      </c>
      <c r="H59" s="31"/>
      <c r="I59" s="17">
        <v>0.69578289571690521</v>
      </c>
      <c r="J59" s="31">
        <v>0.87566694708276793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7" t="s">
        <v>100</v>
      </c>
      <c r="H60" s="31"/>
      <c r="I60" s="10">
        <v>0.98651948498393904</v>
      </c>
      <c r="J60" s="31">
        <v>0.87566694708276793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4.6176193437857387E-2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1">
        <v>2.6748167279595906E-3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0">
        <v>1.1705999554640601E-2</v>
      </c>
      <c r="L63" s="91">
        <v>0.88104586815920394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13" t="s">
        <v>100</v>
      </c>
      <c r="L64" s="91"/>
    </row>
    <row r="65" spans="1:12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314"/>
      <c r="D66" s="33"/>
      <c r="E66" s="7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314"/>
      <c r="D67" s="33"/>
      <c r="E67" s="7">
        <v>9.0996817769442266</v>
      </c>
      <c r="F67" s="31">
        <v>0.81198389902016499</v>
      </c>
      <c r="G67" s="17" t="s">
        <v>100</v>
      </c>
      <c r="H67" s="31"/>
      <c r="I67" s="17" t="s">
        <v>100</v>
      </c>
      <c r="J67" s="31"/>
      <c r="K67" s="10" t="s">
        <v>100</v>
      </c>
      <c r="L67" s="91"/>
    </row>
    <row r="68" spans="1:12">
      <c r="A68" s="47" t="s">
        <v>109</v>
      </c>
      <c r="B68" s="9" t="s">
        <v>191</v>
      </c>
      <c r="C68" s="314"/>
      <c r="D68" s="6"/>
      <c r="E68" s="7">
        <v>0</v>
      </c>
      <c r="F68" s="98">
        <v>0.81198389902016499</v>
      </c>
      <c r="G68" s="7">
        <v>0</v>
      </c>
      <c r="H68" s="31">
        <v>5.4492882366199209E-2</v>
      </c>
      <c r="I68" s="7">
        <v>0</v>
      </c>
      <c r="J68" s="31">
        <v>0.87566694708276793</v>
      </c>
      <c r="K68" s="10" t="s">
        <v>100</v>
      </c>
      <c r="L68" s="91"/>
    </row>
    <row r="69" spans="1:12">
      <c r="A69" s="47" t="s">
        <v>153</v>
      </c>
      <c r="B69" s="9" t="s">
        <v>190</v>
      </c>
      <c r="C69" s="314"/>
      <c r="D69" s="6"/>
      <c r="E69" s="10">
        <v>2.2754340964063639E-2</v>
      </c>
      <c r="F69" s="98">
        <v>0.81198389902016499</v>
      </c>
      <c r="G69" s="17" t="s">
        <v>100</v>
      </c>
      <c r="H69" s="31"/>
      <c r="I69" s="12">
        <v>1.2344406121003217E-4</v>
      </c>
      <c r="J69" s="31">
        <v>0.87566694708276793</v>
      </c>
      <c r="K69" s="10" t="s">
        <v>100</v>
      </c>
      <c r="L69" s="91"/>
    </row>
    <row r="70" spans="1:12">
      <c r="A70" s="47" t="s">
        <v>154</v>
      </c>
      <c r="B70" s="9" t="s">
        <v>190</v>
      </c>
      <c r="C70" s="314"/>
      <c r="D70" s="6"/>
      <c r="E70" s="17">
        <v>0.21532163247347974</v>
      </c>
      <c r="F70" s="98">
        <v>0.81198389902016499</v>
      </c>
      <c r="G70" s="17" t="s">
        <v>100</v>
      </c>
      <c r="H70" s="31"/>
      <c r="I70" s="13">
        <v>3.0990140889547825E-6</v>
      </c>
      <c r="J70" s="31">
        <v>0.87566694708276793</v>
      </c>
      <c r="K70" s="10" t="s">
        <v>100</v>
      </c>
      <c r="L70" s="91"/>
    </row>
    <row r="71" spans="1:12">
      <c r="A71" s="47" t="s">
        <v>142</v>
      </c>
      <c r="B71" s="9" t="s">
        <v>202</v>
      </c>
      <c r="C71" s="314"/>
      <c r="D71" s="6"/>
      <c r="E71" s="12" t="s">
        <v>100</v>
      </c>
      <c r="F71" s="98"/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314"/>
      <c r="D72" s="6"/>
      <c r="E72" s="7"/>
      <c r="F72" s="8"/>
      <c r="G72" s="17" t="s">
        <v>100</v>
      </c>
      <c r="H72" s="31"/>
      <c r="I72" s="12">
        <v>5.6040504775265646E-5</v>
      </c>
      <c r="J72" s="31">
        <v>0.87566694708276793</v>
      </c>
      <c r="K72" s="10"/>
      <c r="L72" s="10"/>
    </row>
    <row r="73" spans="1:12">
      <c r="A73" s="47" t="s">
        <v>156</v>
      </c>
      <c r="B73" s="9" t="s">
        <v>202</v>
      </c>
      <c r="C73" s="314"/>
      <c r="D73" s="6"/>
      <c r="E73" s="7"/>
      <c r="F73" s="8"/>
      <c r="G73" s="17" t="s">
        <v>100</v>
      </c>
      <c r="H73" s="31"/>
      <c r="I73" s="7">
        <v>0</v>
      </c>
      <c r="J73" s="31">
        <v>0.87566694708276793</v>
      </c>
      <c r="K73" s="10"/>
      <c r="L73" s="10"/>
    </row>
    <row r="74" spans="1:12">
      <c r="A74" s="47"/>
      <c r="B74" s="9"/>
      <c r="C74" s="314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314"/>
      <c r="D76" s="6"/>
      <c r="E76" s="7">
        <v>28.407169669425802</v>
      </c>
      <c r="F76" s="98">
        <v>0.71511570808148639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6.5159475110066909</v>
      </c>
      <c r="J77" s="31">
        <v>0.87566694708276793</v>
      </c>
      <c r="K77" s="10"/>
      <c r="L77" s="10"/>
    </row>
    <row r="78" spans="1:12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0.24840147430017057</v>
      </c>
      <c r="J78" s="31">
        <v>0.87566694708276793</v>
      </c>
      <c r="K78" s="10"/>
      <c r="L78" s="10"/>
    </row>
    <row r="79" spans="1:12">
      <c r="A79" s="47" t="s">
        <v>161</v>
      </c>
      <c r="B79" s="9" t="s">
        <v>190</v>
      </c>
      <c r="C79" s="314"/>
      <c r="D79" s="6"/>
      <c r="E79" s="7"/>
      <c r="F79" s="8"/>
      <c r="G79" s="17">
        <v>4.8389751191564638</v>
      </c>
      <c r="H79" s="31">
        <v>5.4492882366199209E-2</v>
      </c>
      <c r="I79" s="7">
        <v>0</v>
      </c>
      <c r="J79" s="31">
        <v>0.87566694708276793</v>
      </c>
      <c r="K79" s="10">
        <v>0.15514727827194136</v>
      </c>
      <c r="L79" s="91">
        <v>0.88104586815920394</v>
      </c>
    </row>
    <row r="80" spans="1:12">
      <c r="A80" s="47" t="s">
        <v>112</v>
      </c>
      <c r="B80" s="9" t="s">
        <v>190</v>
      </c>
      <c r="C80" s="314"/>
      <c r="D80" s="6"/>
      <c r="E80" s="7"/>
      <c r="F80" s="8"/>
      <c r="G80" s="17" t="s">
        <v>100</v>
      </c>
      <c r="H80" s="31"/>
      <c r="I80" s="17">
        <v>29.154442734718369</v>
      </c>
      <c r="J80" s="31">
        <v>0.87566694708276793</v>
      </c>
      <c r="K80" s="10"/>
      <c r="L80" s="10"/>
    </row>
    <row r="81" spans="1:12">
      <c r="A81" s="47" t="s">
        <v>162</v>
      </c>
      <c r="B81" s="9" t="s">
        <v>190</v>
      </c>
      <c r="C81" s="314"/>
      <c r="D81" s="6"/>
      <c r="E81" s="7"/>
      <c r="F81" s="8"/>
      <c r="G81" s="7"/>
      <c r="H81" s="8"/>
      <c r="I81" s="10"/>
      <c r="J81" s="6"/>
      <c r="K81" s="10">
        <v>7.2813965476482387</v>
      </c>
      <c r="L81" s="91">
        <v>0.88104586815920394</v>
      </c>
    </row>
    <row r="82" spans="1:12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7">
        <v>0</v>
      </c>
      <c r="L82" s="91">
        <v>0.88104586815920394</v>
      </c>
    </row>
    <row r="83" spans="1:12">
      <c r="A83" s="47" t="s">
        <v>137</v>
      </c>
      <c r="B83" s="9" t="s">
        <v>190</v>
      </c>
      <c r="C83" s="314"/>
      <c r="D83" s="6"/>
      <c r="E83" s="7">
        <v>41.387956880618347</v>
      </c>
      <c r="F83" s="98">
        <v>0.81198389902016499</v>
      </c>
      <c r="G83" s="17" t="s">
        <v>100</v>
      </c>
      <c r="H83" s="31"/>
      <c r="I83" s="10"/>
      <c r="J83" s="6"/>
      <c r="K83" s="10"/>
      <c r="L83" s="10"/>
    </row>
    <row r="84" spans="1:12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314"/>
      <c r="D85" s="31"/>
      <c r="E85" s="7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314"/>
      <c r="D86" s="6"/>
      <c r="E86" s="7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314"/>
      <c r="D87" s="6"/>
      <c r="E87" s="7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314"/>
      <c r="D88" s="6"/>
      <c r="E88" s="7">
        <v>1356.37560411291</v>
      </c>
      <c r="F88" s="98">
        <v>0.71511570808148639</v>
      </c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7">
        <v>11.920461251885376</v>
      </c>
      <c r="J89" s="31">
        <v>0.87566694708276793</v>
      </c>
      <c r="K89" s="10"/>
      <c r="L89" s="10"/>
    </row>
    <row r="90" spans="1:12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7">
        <v>0</v>
      </c>
      <c r="J90" s="31">
        <v>0.87566694708276793</v>
      </c>
      <c r="K90" s="10"/>
      <c r="L90" s="10"/>
    </row>
    <row r="91" spans="1:12">
      <c r="A91" s="47" t="s">
        <v>169</v>
      </c>
      <c r="B91" s="9" t="s">
        <v>190</v>
      </c>
      <c r="C91" s="314"/>
      <c r="D91" s="6"/>
      <c r="E91" s="7"/>
      <c r="F91" s="8"/>
      <c r="G91" s="7">
        <v>10.08233021894493</v>
      </c>
      <c r="H91" s="31">
        <v>5.4492882366199209E-2</v>
      </c>
      <c r="I91" s="7">
        <v>22.753816768994565</v>
      </c>
      <c r="J91" s="31">
        <v>0.87566694708276793</v>
      </c>
      <c r="K91" s="10"/>
      <c r="L91" s="10"/>
    </row>
    <row r="92" spans="1:12">
      <c r="A92" s="47" t="s">
        <v>170</v>
      </c>
      <c r="B92" s="9" t="s">
        <v>190</v>
      </c>
      <c r="C92" s="314"/>
      <c r="D92" s="6"/>
      <c r="E92" s="7"/>
      <c r="F92" s="8"/>
      <c r="G92" s="17" t="s">
        <v>100</v>
      </c>
      <c r="H92" s="31"/>
      <c r="I92" s="7">
        <v>5.5363886699177192</v>
      </c>
      <c r="J92" s="31">
        <v>0.87566694708276793</v>
      </c>
      <c r="K92" s="10"/>
      <c r="L92" s="10"/>
    </row>
    <row r="93" spans="1:12">
      <c r="A93" s="47" t="s">
        <v>171</v>
      </c>
      <c r="B93" s="9" t="s">
        <v>190</v>
      </c>
      <c r="C93" s="314"/>
      <c r="D93" s="6"/>
      <c r="E93" s="7"/>
      <c r="F93" s="8"/>
      <c r="G93" s="7">
        <v>0</v>
      </c>
      <c r="H93" s="31">
        <v>5.4492882366199209E-2</v>
      </c>
      <c r="I93" s="7">
        <v>0</v>
      </c>
      <c r="J93" s="31">
        <v>0.87566694708276793</v>
      </c>
      <c r="K93" s="17">
        <v>1.391843971633234</v>
      </c>
      <c r="L93" s="91">
        <v>0.88104586815920394</v>
      </c>
    </row>
    <row r="94" spans="1:12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17">
        <v>0.16146809331265008</v>
      </c>
      <c r="L94" s="91">
        <v>0.88104586815920394</v>
      </c>
    </row>
    <row r="95" spans="1:12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7">
        <v>0</v>
      </c>
      <c r="L95" s="91">
        <v>0.88104586815920394</v>
      </c>
    </row>
    <row r="96" spans="1:12">
      <c r="A96" s="47" t="s">
        <v>172</v>
      </c>
      <c r="B96" s="9" t="s">
        <v>190</v>
      </c>
      <c r="C96" s="314"/>
      <c r="D96" s="6"/>
      <c r="E96" s="7">
        <v>39.536387139684869</v>
      </c>
      <c r="F96" s="98">
        <v>0.81198389902016499</v>
      </c>
      <c r="G96" s="17" t="s">
        <v>100</v>
      </c>
      <c r="H96" s="31"/>
      <c r="I96" s="10"/>
      <c r="J96" s="6"/>
      <c r="K96" s="10" t="s">
        <v>100</v>
      </c>
      <c r="L96" s="91"/>
    </row>
    <row r="97" spans="1:17">
      <c r="A97" s="47" t="s">
        <v>173</v>
      </c>
      <c r="B97" s="9" t="s">
        <v>190</v>
      </c>
      <c r="C97" s="315"/>
      <c r="D97" s="180"/>
      <c r="E97" s="35">
        <v>34.761688663667037</v>
      </c>
      <c r="F97" s="190">
        <v>0.81198389902016499</v>
      </c>
      <c r="G97" s="103" t="s">
        <v>100</v>
      </c>
      <c r="H97" s="236"/>
      <c r="I97" s="14"/>
      <c r="J97" s="180"/>
      <c r="K97" s="14" t="s">
        <v>100</v>
      </c>
      <c r="L97" s="99"/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100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1690.5095278286501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/>
      <c r="D101" s="266"/>
      <c r="E101" s="266">
        <v>759</v>
      </c>
      <c r="F101" s="266"/>
      <c r="G101" s="266">
        <v>105</v>
      </c>
      <c r="H101" s="266"/>
      <c r="I101" s="266"/>
      <c r="J101" s="266"/>
      <c r="K101" s="266">
        <v>16</v>
      </c>
      <c r="L101" s="266"/>
    </row>
    <row r="102" spans="1:17">
      <c r="A102" s="264" t="s">
        <v>234</v>
      </c>
      <c r="B102" s="265" t="s">
        <v>190</v>
      </c>
      <c r="C102" s="267"/>
      <c r="D102" s="267"/>
      <c r="E102" s="267">
        <v>1.4302E-2</v>
      </c>
      <c r="F102" s="267"/>
      <c r="G102" s="267">
        <v>3.8999999999999998E-3</v>
      </c>
      <c r="H102" s="267"/>
      <c r="I102" s="267"/>
      <c r="J102" s="267"/>
      <c r="K102" s="267">
        <v>4.0000000000000002E-4</v>
      </c>
      <c r="L102" s="267"/>
    </row>
    <row r="103" spans="1:17">
      <c r="A103" s="264" t="s">
        <v>235</v>
      </c>
      <c r="B103" s="265" t="s">
        <v>190</v>
      </c>
      <c r="C103" s="268"/>
      <c r="D103" s="268"/>
      <c r="E103" s="268">
        <v>1.4302E-3</v>
      </c>
      <c r="F103" s="268"/>
      <c r="G103" s="268">
        <v>8.0000000000000004E-4</v>
      </c>
      <c r="H103" s="268"/>
      <c r="I103" s="268"/>
      <c r="J103" s="268"/>
      <c r="K103" s="268">
        <v>1E-4</v>
      </c>
      <c r="L103" s="268"/>
    </row>
  </sheetData>
  <mergeCells count="3">
    <mergeCell ref="C11:C97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3"/>
  <sheetViews>
    <sheetView zoomScale="70" zoomScaleNormal="70" workbookViewId="0">
      <pane xSplit="2" ySplit="9" topLeftCell="C23" activePane="bottomRight" state="frozen"/>
      <selection pane="topRight" activeCell="J20" sqref="J20"/>
      <selection pane="bottomLeft" activeCell="J20" sqref="J20"/>
      <selection pane="bottomRight" activeCell="C44" sqref="C44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31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25">
        <v>0.50675451472067301</v>
      </c>
      <c r="D4" s="316" t="s">
        <v>176</v>
      </c>
      <c r="E4" s="317"/>
      <c r="F4" s="22">
        <v>105000000</v>
      </c>
      <c r="G4" s="206"/>
      <c r="H4" s="207" t="s">
        <v>177</v>
      </c>
      <c r="I4" s="22">
        <v>1922000</v>
      </c>
      <c r="J4" s="20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6" t="s">
        <v>207</v>
      </c>
      <c r="E5" s="317"/>
      <c r="F5" s="23">
        <v>20010000</v>
      </c>
      <c r="G5" s="212"/>
      <c r="H5" s="213" t="s">
        <v>181</v>
      </c>
      <c r="I5" s="23">
        <v>0</v>
      </c>
      <c r="J5" s="209"/>
      <c r="K5" s="210" t="s">
        <v>178</v>
      </c>
      <c r="L5" s="23">
        <v>0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4">
        <f>E16*I25/10^6</f>
        <v>5.3360152108612526</v>
      </c>
      <c r="D9" s="221"/>
      <c r="E9" s="18">
        <v>1.9156887868815229</v>
      </c>
      <c r="F9" s="221" t="s">
        <v>208</v>
      </c>
      <c r="G9" s="4">
        <f>C4</f>
        <v>0.50675451472067301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 ht="15" customHeight="1">
      <c r="A11" s="46" t="s">
        <v>98</v>
      </c>
      <c r="B11" s="48" t="s">
        <v>189</v>
      </c>
      <c r="C11" s="7"/>
      <c r="D11" s="8"/>
      <c r="E11" s="7">
        <v>1248.75</v>
      </c>
      <c r="F11" s="31">
        <v>1</v>
      </c>
      <c r="G11" s="7"/>
      <c r="H11" s="8"/>
      <c r="I11" s="7">
        <v>3665.1674986389899</v>
      </c>
      <c r="J11" s="31">
        <v>1.0000673459937566</v>
      </c>
      <c r="K11" s="7"/>
      <c r="L11" s="7"/>
    </row>
    <row r="12" spans="1:17">
      <c r="A12" s="46" t="s">
        <v>101</v>
      </c>
      <c r="B12" s="48" t="s">
        <v>189</v>
      </c>
      <c r="C12" s="7"/>
      <c r="D12" s="8"/>
      <c r="E12" s="7">
        <v>0</v>
      </c>
      <c r="F12" s="31">
        <v>1</v>
      </c>
      <c r="G12" s="7"/>
      <c r="H12" s="8"/>
      <c r="I12" s="7">
        <v>11.788186341804424</v>
      </c>
      <c r="J12" s="31">
        <v>1.0000673459937566</v>
      </c>
      <c r="K12" s="7"/>
      <c r="L12" s="7"/>
    </row>
    <row r="13" spans="1:17">
      <c r="A13" s="46" t="s">
        <v>102</v>
      </c>
      <c r="B13" s="48" t="s">
        <v>189</v>
      </c>
      <c r="C13" s="7"/>
      <c r="D13" s="8"/>
      <c r="E13" s="7">
        <v>81</v>
      </c>
      <c r="F13" s="31">
        <v>1</v>
      </c>
      <c r="G13" s="7"/>
      <c r="H13" s="8"/>
      <c r="I13" s="7">
        <v>17.541766603159548</v>
      </c>
      <c r="J13" s="31">
        <v>0.693651633194589</v>
      </c>
      <c r="K13" s="7"/>
      <c r="L13" s="7"/>
    </row>
    <row r="14" spans="1:17">
      <c r="A14" s="90"/>
      <c r="B14" s="48"/>
      <c r="C14" s="10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10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10"/>
      <c r="D16" s="6"/>
      <c r="E16" s="7">
        <v>2771.215362549663</v>
      </c>
      <c r="F16" s="31">
        <v>1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10"/>
      <c r="D17" s="6"/>
      <c r="E17" s="7">
        <v>75.376882021984017</v>
      </c>
      <c r="F17" s="31">
        <v>1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10"/>
      <c r="D18" s="6"/>
      <c r="E18" s="7">
        <v>42.38148282037551</v>
      </c>
      <c r="F18" s="31">
        <v>1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17">
        <v>0.45279912990625798</v>
      </c>
      <c r="D19" s="31">
        <v>1</v>
      </c>
      <c r="E19" s="7">
        <v>2.7754369192971962</v>
      </c>
      <c r="F19" s="31">
        <v>1</v>
      </c>
      <c r="G19" s="17" t="s">
        <v>100</v>
      </c>
      <c r="H19" s="31"/>
      <c r="I19" s="7" t="s">
        <v>100</v>
      </c>
      <c r="J19" s="31"/>
      <c r="K19" s="7">
        <v>1.0123622270642316</v>
      </c>
      <c r="L19" s="91">
        <v>0.28500468262226847</v>
      </c>
    </row>
    <row r="20" spans="1:12">
      <c r="A20" s="47" t="s">
        <v>109</v>
      </c>
      <c r="B20" s="9" t="s">
        <v>191</v>
      </c>
      <c r="C20" s="17">
        <v>0.26184478452657101</v>
      </c>
      <c r="D20" s="31">
        <v>1</v>
      </c>
      <c r="E20" s="7">
        <v>2.9875373324007279</v>
      </c>
      <c r="F20" s="31">
        <v>1</v>
      </c>
      <c r="G20" s="17" t="s">
        <v>100</v>
      </c>
      <c r="H20" s="31"/>
      <c r="I20" s="7">
        <v>0</v>
      </c>
      <c r="J20" s="31">
        <v>1.0000673459937566</v>
      </c>
      <c r="K20" s="7">
        <v>0</v>
      </c>
      <c r="L20" s="91">
        <v>0.36068574401664932</v>
      </c>
    </row>
    <row r="21" spans="1:12">
      <c r="A21" s="47" t="s">
        <v>192</v>
      </c>
      <c r="B21" s="9" t="s">
        <v>190</v>
      </c>
      <c r="C21" s="7"/>
      <c r="D21" s="8"/>
      <c r="E21" s="7"/>
      <c r="F21" s="8"/>
      <c r="G21" s="7">
        <v>625.55639914575568</v>
      </c>
      <c r="H21" s="31">
        <v>1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7"/>
      <c r="D22" s="8"/>
      <c r="E22" s="7"/>
      <c r="F22" s="8"/>
      <c r="G22" s="7">
        <v>127.48817617660796</v>
      </c>
      <c r="H22" s="31">
        <v>1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7"/>
      <c r="D23" s="8"/>
      <c r="E23" s="7"/>
      <c r="F23" s="8"/>
      <c r="G23" s="7">
        <v>19.738790012172256</v>
      </c>
      <c r="H23" s="31">
        <v>0.21846292977490611</v>
      </c>
      <c r="I23" s="7">
        <v>2.3879765362669731</v>
      </c>
      <c r="J23" s="31">
        <v>1.0000673459937566</v>
      </c>
      <c r="K23" s="10"/>
      <c r="L23" s="10"/>
    </row>
    <row r="24" spans="1:12">
      <c r="A24" s="47" t="s">
        <v>112</v>
      </c>
      <c r="B24" s="9" t="s">
        <v>190</v>
      </c>
      <c r="C24" s="7"/>
      <c r="D24" s="237"/>
      <c r="E24" s="7"/>
      <c r="F24" s="8"/>
      <c r="G24" s="17" t="s">
        <v>100</v>
      </c>
      <c r="H24" s="31"/>
      <c r="I24" s="7">
        <v>2.4571706276228573</v>
      </c>
      <c r="J24" s="31">
        <v>1.0000673459937566</v>
      </c>
      <c r="K24" s="10"/>
      <c r="L24" s="10"/>
    </row>
    <row r="25" spans="1:12">
      <c r="A25" s="47" t="s">
        <v>83</v>
      </c>
      <c r="B25" s="9" t="s">
        <v>190</v>
      </c>
      <c r="C25" s="7"/>
      <c r="D25" s="8"/>
      <c r="E25" s="7"/>
      <c r="F25" s="8"/>
      <c r="G25" s="10"/>
      <c r="H25" s="6"/>
      <c r="I25" s="7">
        <v>1925.5144450238035</v>
      </c>
      <c r="J25" s="31">
        <v>1.0000673459937566</v>
      </c>
      <c r="K25" s="10"/>
      <c r="L25" s="10"/>
    </row>
    <row r="26" spans="1:12">
      <c r="A26" s="47" t="s">
        <v>193</v>
      </c>
      <c r="B26" s="9" t="s">
        <v>190</v>
      </c>
      <c r="C26" s="7"/>
      <c r="D26" s="8"/>
      <c r="E26" s="7"/>
      <c r="F26" s="8"/>
      <c r="G26" s="10"/>
      <c r="H26" s="6"/>
      <c r="I26" s="7">
        <f>C4*1000</f>
        <v>506.754514720673</v>
      </c>
      <c r="J26" s="31">
        <v>1</v>
      </c>
      <c r="K26" s="10"/>
      <c r="L26" s="10"/>
    </row>
    <row r="27" spans="1:12">
      <c r="A27" s="47" t="s">
        <v>113</v>
      </c>
      <c r="B27" s="9" t="s">
        <v>190</v>
      </c>
      <c r="C27" s="7"/>
      <c r="D27" s="8"/>
      <c r="E27" s="7"/>
      <c r="F27" s="8"/>
      <c r="G27" s="10"/>
      <c r="H27" s="6"/>
      <c r="I27" s="7">
        <v>2.6340577784574473</v>
      </c>
      <c r="J27" s="31">
        <v>1.0000673459937566</v>
      </c>
      <c r="K27" s="10"/>
      <c r="L27" s="10"/>
    </row>
    <row r="28" spans="1:12">
      <c r="A28" s="47" t="s">
        <v>114</v>
      </c>
      <c r="B28" s="9" t="s">
        <v>190</v>
      </c>
      <c r="C28" s="7"/>
      <c r="D28" s="8"/>
      <c r="E28" s="7"/>
      <c r="F28" s="8"/>
      <c r="G28" s="12"/>
      <c r="H28" s="6"/>
      <c r="I28" s="7">
        <v>14.892774346608403</v>
      </c>
      <c r="J28" s="31">
        <v>1.0000673459937566</v>
      </c>
      <c r="K28" s="10"/>
      <c r="L28" s="10"/>
    </row>
    <row r="29" spans="1:12">
      <c r="A29" s="47" t="s">
        <v>115</v>
      </c>
      <c r="B29" s="9" t="s">
        <v>190</v>
      </c>
      <c r="C29" s="7"/>
      <c r="D29" s="8"/>
      <c r="E29" s="7"/>
      <c r="F29" s="8"/>
      <c r="G29" s="10"/>
      <c r="H29" s="6"/>
      <c r="I29" s="10"/>
      <c r="J29" s="6"/>
      <c r="K29" s="7">
        <v>1000</v>
      </c>
      <c r="L29" s="91">
        <v>0.99971800208116546</v>
      </c>
    </row>
    <row r="30" spans="1:12">
      <c r="A30" s="47" t="s">
        <v>116</v>
      </c>
      <c r="B30" s="9" t="s">
        <v>190</v>
      </c>
      <c r="C30" s="7"/>
      <c r="D30" s="8"/>
      <c r="E30" s="7"/>
      <c r="F30" s="8"/>
      <c r="G30" s="10"/>
      <c r="H30" s="6"/>
      <c r="I30" s="10"/>
      <c r="J30" s="6"/>
      <c r="K30" s="7">
        <v>6.5017777780635386</v>
      </c>
      <c r="L30" s="91">
        <v>0.99971800208116546</v>
      </c>
    </row>
    <row r="31" spans="1:12">
      <c r="A31" s="47" t="s">
        <v>117</v>
      </c>
      <c r="B31" s="9" t="s">
        <v>190</v>
      </c>
      <c r="C31" s="7"/>
      <c r="D31" s="8"/>
      <c r="E31" s="7"/>
      <c r="F31" s="8"/>
      <c r="G31" s="10"/>
      <c r="H31" s="6"/>
      <c r="I31" s="10"/>
      <c r="J31" s="6"/>
      <c r="K31" s="7">
        <v>0</v>
      </c>
      <c r="L31" s="91">
        <v>0.5445010405827263</v>
      </c>
    </row>
    <row r="32" spans="1:12">
      <c r="A32" s="47" t="s">
        <v>118</v>
      </c>
      <c r="B32" s="9" t="s">
        <v>190</v>
      </c>
      <c r="C32" s="7"/>
      <c r="D32" s="8"/>
      <c r="E32" s="7"/>
      <c r="F32" s="8"/>
      <c r="G32" s="10"/>
      <c r="H32" s="6"/>
      <c r="I32" s="10"/>
      <c r="J32" s="6"/>
      <c r="K32" s="17">
        <v>0.31079257831640206</v>
      </c>
      <c r="L32" s="91">
        <v>0.5445010405827263</v>
      </c>
    </row>
    <row r="33" spans="1:12">
      <c r="A33" s="47" t="s">
        <v>119</v>
      </c>
      <c r="B33" s="9" t="s">
        <v>190</v>
      </c>
      <c r="C33" s="7"/>
      <c r="D33" s="8"/>
      <c r="E33" s="7"/>
      <c r="F33" s="8"/>
      <c r="G33" s="10"/>
      <c r="H33" s="6"/>
      <c r="I33" s="10"/>
      <c r="J33" s="6"/>
      <c r="K33" s="7">
        <v>0</v>
      </c>
      <c r="L33" s="91">
        <v>0.5445010405827263</v>
      </c>
    </row>
    <row r="34" spans="1:12" s="25" customFormat="1">
      <c r="A34" s="47"/>
      <c r="B34" s="9"/>
      <c r="C34" s="7"/>
      <c r="D34" s="8"/>
      <c r="E34" s="7"/>
      <c r="F34" s="8"/>
      <c r="G34" s="10"/>
      <c r="H34" s="6"/>
      <c r="I34" s="10"/>
      <c r="J34" s="6"/>
      <c r="K34" s="10"/>
      <c r="L34" s="91"/>
    </row>
    <row r="35" spans="1:12" s="25" customFormat="1">
      <c r="A35" s="34" t="s">
        <v>120</v>
      </c>
      <c r="B35" s="9"/>
      <c r="C35" s="182"/>
      <c r="D35" s="183"/>
      <c r="E35" s="186"/>
      <c r="F35" s="187"/>
      <c r="G35" s="186"/>
      <c r="H35" s="187"/>
      <c r="I35" s="186"/>
      <c r="J35" s="187"/>
      <c r="K35" s="227"/>
      <c r="L35" s="227"/>
    </row>
    <row r="36" spans="1:12">
      <c r="A36" s="92" t="s">
        <v>121</v>
      </c>
      <c r="B36" s="93" t="s">
        <v>191</v>
      </c>
      <c r="C36" s="17">
        <v>5.2880740738384464</v>
      </c>
      <c r="D36" s="188">
        <v>0.61313333333333331</v>
      </c>
      <c r="E36" s="17">
        <v>2.1226371404125337</v>
      </c>
      <c r="F36" s="98">
        <v>1</v>
      </c>
      <c r="G36" s="17" t="s">
        <v>100</v>
      </c>
      <c r="H36" s="31"/>
      <c r="I36" s="17" t="s">
        <v>100</v>
      </c>
      <c r="J36" s="98"/>
      <c r="K36" s="7">
        <v>0.97425903059193442</v>
      </c>
      <c r="L36" s="171">
        <v>0.28500468262226847</v>
      </c>
    </row>
    <row r="37" spans="1:12">
      <c r="A37" s="92" t="s">
        <v>122</v>
      </c>
      <c r="B37" s="93" t="s">
        <v>191</v>
      </c>
      <c r="C37" s="7">
        <f>C20-C68</f>
        <v>0</v>
      </c>
      <c r="D37" s="188">
        <v>1</v>
      </c>
      <c r="E37" s="17">
        <f>E20-E68</f>
        <v>0.15197504325286504</v>
      </c>
      <c r="F37" s="98">
        <v>1</v>
      </c>
      <c r="G37" s="17" t="s">
        <v>100</v>
      </c>
      <c r="H37" s="31"/>
      <c r="I37" s="7">
        <v>0</v>
      </c>
      <c r="J37" s="98">
        <v>1.0000673459937566</v>
      </c>
      <c r="K37" s="7">
        <v>0</v>
      </c>
      <c r="L37" s="171">
        <v>0.36068574401664932</v>
      </c>
    </row>
    <row r="38" spans="1:12">
      <c r="A38" s="47" t="s">
        <v>123</v>
      </c>
      <c r="B38" s="9" t="s">
        <v>210</v>
      </c>
      <c r="C38" s="286">
        <v>0.35847276305185538</v>
      </c>
      <c r="D38" s="98">
        <v>0.71273263809523812</v>
      </c>
      <c r="E38" s="286">
        <v>1.0412453286414101</v>
      </c>
      <c r="F38" s="98">
        <v>1</v>
      </c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7" t="s">
        <v>196</v>
      </c>
      <c r="D39" s="188">
        <v>1</v>
      </c>
      <c r="E39" s="17" t="s">
        <v>229</v>
      </c>
      <c r="F39" s="98">
        <v>0.37424767616191906</v>
      </c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7" t="s">
        <v>198</v>
      </c>
      <c r="D40" s="98">
        <v>0.65316316835950128</v>
      </c>
      <c r="E40" s="246" t="s">
        <v>228</v>
      </c>
      <c r="F40" s="98">
        <v>1</v>
      </c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13">
        <v>1.4698625987141347E-7</v>
      </c>
      <c r="D41" s="98">
        <v>0.71273263809523812</v>
      </c>
      <c r="E41" s="13">
        <v>7.7520516703278789E-6</v>
      </c>
      <c r="F41" s="98">
        <v>0.7091350274862569</v>
      </c>
      <c r="G41" s="17"/>
      <c r="H41" s="98"/>
      <c r="I41" s="17"/>
      <c r="J41" s="98"/>
      <c r="K41" s="17"/>
      <c r="L41" s="171"/>
    </row>
    <row r="42" spans="1:12">
      <c r="A42" s="47"/>
      <c r="B42" s="9"/>
      <c r="C42" s="186"/>
      <c r="D42" s="187"/>
      <c r="E42" s="186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186"/>
      <c r="D43" s="187"/>
      <c r="E43" s="186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7">
        <v>0</v>
      </c>
      <c r="D44" s="98">
        <v>0.35950706666666665</v>
      </c>
      <c r="E44" s="7">
        <v>9.7549582914556012</v>
      </c>
      <c r="F44" s="98">
        <v>1</v>
      </c>
      <c r="G44" s="7">
        <v>577.51247048142682</v>
      </c>
      <c r="H44" s="98">
        <v>1</v>
      </c>
      <c r="I44" s="186"/>
      <c r="J44" s="187"/>
      <c r="K44" s="7">
        <v>111.75706909610558</v>
      </c>
      <c r="L44" s="171">
        <v>1</v>
      </c>
    </row>
    <row r="45" spans="1:12">
      <c r="A45" s="47" t="s">
        <v>133</v>
      </c>
      <c r="B45" s="9" t="s">
        <v>201</v>
      </c>
      <c r="C45" s="17">
        <v>63.450369599654003</v>
      </c>
      <c r="D45" s="98">
        <v>1</v>
      </c>
      <c r="E45" s="7">
        <v>14.433816172392781</v>
      </c>
      <c r="F45" s="98">
        <v>1</v>
      </c>
      <c r="G45" s="7">
        <v>12.929900083136543</v>
      </c>
      <c r="H45" s="98">
        <v>1</v>
      </c>
      <c r="I45" s="186"/>
      <c r="J45" s="187"/>
      <c r="K45" s="7">
        <v>8.9741838005702963</v>
      </c>
      <c r="L45" s="171">
        <v>1</v>
      </c>
    </row>
    <row r="46" spans="1:12">
      <c r="A46" s="47" t="s">
        <v>134</v>
      </c>
      <c r="B46" s="9" t="s">
        <v>201</v>
      </c>
      <c r="C46" s="17">
        <v>0.10555308419871599</v>
      </c>
      <c r="D46" s="98">
        <v>0.51873695714285717</v>
      </c>
      <c r="E46" s="7">
        <v>6440.0840687414957</v>
      </c>
      <c r="F46" s="98">
        <v>1</v>
      </c>
      <c r="G46" s="7">
        <v>2211.7244557325239</v>
      </c>
      <c r="H46" s="98">
        <v>1</v>
      </c>
      <c r="I46" s="186"/>
      <c r="J46" s="187"/>
      <c r="K46" s="7">
        <v>485.94780790971635</v>
      </c>
      <c r="L46" s="171">
        <v>1</v>
      </c>
    </row>
    <row r="47" spans="1:12">
      <c r="A47" s="47" t="s">
        <v>135</v>
      </c>
      <c r="B47" s="9" t="s">
        <v>201</v>
      </c>
      <c r="C47" s="17">
        <v>25.993205852813102</v>
      </c>
      <c r="D47" s="98">
        <v>0.51873695714285717</v>
      </c>
      <c r="E47" s="7">
        <v>3114.4668197172018</v>
      </c>
      <c r="F47" s="98">
        <v>1</v>
      </c>
      <c r="G47" s="7">
        <v>0</v>
      </c>
      <c r="H47" s="98">
        <v>1</v>
      </c>
      <c r="I47" s="186"/>
      <c r="J47" s="187"/>
      <c r="K47" s="7">
        <v>0</v>
      </c>
      <c r="L47" s="171">
        <v>1</v>
      </c>
    </row>
    <row r="48" spans="1:12">
      <c r="A48" s="47" t="s">
        <v>136</v>
      </c>
      <c r="B48" s="9" t="s">
        <v>201</v>
      </c>
      <c r="C48" s="17">
        <v>8.7427527623623895</v>
      </c>
      <c r="D48" s="98">
        <v>0.85598446190476185</v>
      </c>
      <c r="E48" s="7">
        <v>306.75213190847967</v>
      </c>
      <c r="F48" s="98">
        <v>1</v>
      </c>
      <c r="G48" s="7">
        <v>277.24285010430322</v>
      </c>
      <c r="H48" s="98">
        <v>1</v>
      </c>
      <c r="I48" s="7">
        <v>52204.572179233008</v>
      </c>
      <c r="J48" s="98">
        <v>1</v>
      </c>
      <c r="K48" s="7">
        <v>300.555428522309</v>
      </c>
      <c r="L48" s="171">
        <v>1</v>
      </c>
    </row>
    <row r="49" spans="1:12">
      <c r="A49" s="47" t="s">
        <v>137</v>
      </c>
      <c r="B49" s="9" t="s">
        <v>201</v>
      </c>
      <c r="C49" s="11">
        <v>6.3716874550078387E-3</v>
      </c>
      <c r="D49" s="98">
        <v>0.35950706666666665</v>
      </c>
      <c r="E49" s="7">
        <v>642.95810903868255</v>
      </c>
      <c r="F49" s="98">
        <v>1</v>
      </c>
      <c r="G49" s="7">
        <v>0.92440221474001438</v>
      </c>
      <c r="H49" s="98">
        <v>1</v>
      </c>
      <c r="I49" s="186"/>
      <c r="J49" s="187"/>
      <c r="K49" s="7">
        <v>0</v>
      </c>
      <c r="L49" s="171">
        <v>1</v>
      </c>
    </row>
    <row r="50" spans="1:12">
      <c r="A50" s="47"/>
      <c r="B50" s="9"/>
      <c r="C50" s="10"/>
      <c r="D50" s="6"/>
      <c r="E50" s="10"/>
      <c r="F50" s="6"/>
      <c r="G50" s="10"/>
      <c r="H50" s="6"/>
      <c r="I50" s="10"/>
      <c r="J50" s="6"/>
      <c r="K50" s="10"/>
      <c r="L50" s="10"/>
    </row>
    <row r="51" spans="1:12" s="75" customFormat="1">
      <c r="A51" s="45" t="s">
        <v>138</v>
      </c>
      <c r="B51" s="44"/>
      <c r="C51" s="10"/>
      <c r="D51" s="6"/>
      <c r="E51" s="10"/>
      <c r="F51" s="6"/>
      <c r="G51" s="10"/>
      <c r="H51" s="6"/>
      <c r="I51" s="10"/>
      <c r="J51" s="6"/>
      <c r="K51" s="10"/>
      <c r="L51" s="10"/>
    </row>
    <row r="52" spans="1:12" s="75" customFormat="1">
      <c r="A52" s="47" t="s">
        <v>139</v>
      </c>
      <c r="B52" s="9" t="s">
        <v>190</v>
      </c>
      <c r="C52" s="17">
        <v>0.18538250158185501</v>
      </c>
      <c r="D52" s="31">
        <v>1</v>
      </c>
      <c r="E52" s="17">
        <v>0.54154340485501018</v>
      </c>
      <c r="F52" s="31">
        <v>1</v>
      </c>
      <c r="G52" s="17" t="s">
        <v>100</v>
      </c>
      <c r="H52" s="31"/>
      <c r="I52" s="7">
        <v>1.0565812888525246</v>
      </c>
      <c r="J52" s="31">
        <v>1.0000673459937566</v>
      </c>
      <c r="K52" s="7">
        <v>0</v>
      </c>
      <c r="L52" s="91">
        <v>0.36068574401664932</v>
      </c>
    </row>
    <row r="53" spans="1:12">
      <c r="A53" s="47" t="s">
        <v>140</v>
      </c>
      <c r="B53" s="9" t="s">
        <v>190</v>
      </c>
      <c r="C53" s="13">
        <v>1.7018011335944721E-5</v>
      </c>
      <c r="D53" s="31">
        <v>0.47570887619047619</v>
      </c>
      <c r="E53" s="17">
        <v>0.77264685899501062</v>
      </c>
      <c r="F53" s="31">
        <v>1</v>
      </c>
      <c r="G53" s="17" t="s">
        <v>100</v>
      </c>
      <c r="H53" s="31"/>
      <c r="I53" s="17">
        <v>20.388130583124589</v>
      </c>
      <c r="J53" s="31">
        <v>1.0000673459937566</v>
      </c>
      <c r="K53" s="7">
        <v>0</v>
      </c>
      <c r="L53" s="91">
        <v>0.36068574401664932</v>
      </c>
    </row>
    <row r="54" spans="1:12" ht="17">
      <c r="A54" s="47" t="s">
        <v>141</v>
      </c>
      <c r="B54" s="9" t="s">
        <v>190</v>
      </c>
      <c r="C54" s="10">
        <v>5.767506650037571E-2</v>
      </c>
      <c r="D54" s="31">
        <v>0.81295638095238099</v>
      </c>
      <c r="E54" s="17">
        <v>0.79236587975355166</v>
      </c>
      <c r="F54" s="31">
        <v>1</v>
      </c>
      <c r="G54" s="17" t="s">
        <v>100</v>
      </c>
      <c r="H54" s="31"/>
      <c r="I54" s="17">
        <v>0.62824859172199821</v>
      </c>
      <c r="J54" s="31">
        <v>0.56646253902185228</v>
      </c>
      <c r="K54" s="7">
        <v>0</v>
      </c>
      <c r="L54" s="91">
        <v>0.36068574401664932</v>
      </c>
    </row>
    <row r="55" spans="1:12">
      <c r="A55" s="47" t="s">
        <v>142</v>
      </c>
      <c r="B55" s="9" t="s">
        <v>202</v>
      </c>
      <c r="C55" s="10"/>
      <c r="D55" s="6"/>
      <c r="E55" s="10">
        <v>0.14271678105636043</v>
      </c>
      <c r="F55" s="31">
        <v>0.4762454379153393</v>
      </c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10"/>
      <c r="D56" s="6"/>
      <c r="E56" s="10">
        <v>1.8628505878952168E-2</v>
      </c>
      <c r="F56" s="31">
        <v>0.79247465076276169</v>
      </c>
      <c r="G56" s="17" t="s">
        <v>100</v>
      </c>
      <c r="H56" s="31"/>
      <c r="I56" s="10">
        <v>4.2556967465498557E-2</v>
      </c>
      <c r="J56" s="31">
        <v>1.0000673459937566</v>
      </c>
      <c r="K56" s="10"/>
      <c r="L56" s="10"/>
    </row>
    <row r="57" spans="1:12">
      <c r="A57" s="47" t="s">
        <v>145</v>
      </c>
      <c r="B57" s="9" t="s">
        <v>190</v>
      </c>
      <c r="C57" s="10"/>
      <c r="D57" s="6"/>
      <c r="E57" s="7"/>
      <c r="F57" s="8"/>
      <c r="G57" s="17" t="s">
        <v>100</v>
      </c>
      <c r="H57" s="31"/>
      <c r="I57" s="17">
        <v>0.27690642950503191</v>
      </c>
      <c r="J57" s="31">
        <v>1.0000673459937566</v>
      </c>
      <c r="K57" s="10"/>
      <c r="L57" s="10"/>
    </row>
    <row r="58" spans="1:12">
      <c r="A58" s="47" t="s">
        <v>146</v>
      </c>
      <c r="B58" s="9" t="s">
        <v>190</v>
      </c>
      <c r="C58" s="10"/>
      <c r="D58" s="6"/>
      <c r="E58" s="7"/>
      <c r="F58" s="8"/>
      <c r="G58" s="17" t="s">
        <v>100</v>
      </c>
      <c r="H58" s="31"/>
      <c r="I58" s="17">
        <v>0.65160023804203338</v>
      </c>
      <c r="J58" s="31">
        <v>1.0000673459937566</v>
      </c>
      <c r="K58" s="10"/>
      <c r="L58" s="10"/>
    </row>
    <row r="59" spans="1:12">
      <c r="A59" s="47" t="s">
        <v>147</v>
      </c>
      <c r="B59" s="9" t="s">
        <v>190</v>
      </c>
      <c r="C59" s="10"/>
      <c r="D59" s="6"/>
      <c r="E59" s="7"/>
      <c r="F59" s="8"/>
      <c r="G59" s="17" t="s">
        <v>100</v>
      </c>
      <c r="H59" s="31"/>
      <c r="I59" s="17">
        <v>8.8451327236552472E-3</v>
      </c>
      <c r="J59" s="31">
        <v>1.0000673459937566</v>
      </c>
      <c r="K59" s="10"/>
      <c r="L59" s="10"/>
    </row>
    <row r="60" spans="1:12">
      <c r="A60" s="47" t="s">
        <v>148</v>
      </c>
      <c r="B60" s="9" t="s">
        <v>202</v>
      </c>
      <c r="C60" s="10"/>
      <c r="D60" s="6"/>
      <c r="E60" s="7"/>
      <c r="F60" s="8"/>
      <c r="G60" s="17" t="s">
        <v>100</v>
      </c>
      <c r="H60" s="31"/>
      <c r="I60" s="10">
        <v>1.7127249105836132E-2</v>
      </c>
      <c r="J60" s="31">
        <v>0.66479188345473461</v>
      </c>
      <c r="K60" s="10"/>
      <c r="L60" s="10"/>
    </row>
    <row r="61" spans="1:12">
      <c r="A61" s="47" t="s">
        <v>149</v>
      </c>
      <c r="B61" s="9" t="s">
        <v>190</v>
      </c>
      <c r="C61" s="10"/>
      <c r="D61" s="6"/>
      <c r="E61" s="7"/>
      <c r="F61" s="8"/>
      <c r="G61" s="17"/>
      <c r="H61" s="29"/>
      <c r="I61" s="10">
        <v>2.470705206585222E-2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10"/>
      <c r="D62" s="6"/>
      <c r="E62" s="7"/>
      <c r="F62" s="8"/>
      <c r="G62" s="17"/>
      <c r="H62" s="29"/>
      <c r="I62" s="11">
        <v>1.2570366286008825E-3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10"/>
      <c r="D63" s="6"/>
      <c r="E63" s="7"/>
      <c r="F63" s="8"/>
      <c r="G63" s="17"/>
      <c r="H63" s="29"/>
      <c r="I63" s="10"/>
      <c r="J63" s="6"/>
      <c r="K63" s="7">
        <v>0</v>
      </c>
      <c r="L63" s="91">
        <v>0.44331165452653487</v>
      </c>
    </row>
    <row r="64" spans="1:12">
      <c r="A64" s="47" t="s">
        <v>203</v>
      </c>
      <c r="B64" s="9" t="s">
        <v>190</v>
      </c>
      <c r="C64" s="10"/>
      <c r="D64" s="6"/>
      <c r="E64" s="7"/>
      <c r="F64" s="8"/>
      <c r="G64" s="17"/>
      <c r="H64" s="29"/>
      <c r="I64" s="10"/>
      <c r="J64" s="6"/>
      <c r="K64" s="7">
        <v>0</v>
      </c>
      <c r="L64" s="91">
        <v>0.36068574401664932</v>
      </c>
    </row>
    <row r="65" spans="1:12">
      <c r="A65" s="47"/>
      <c r="B65" s="9"/>
      <c r="C65" s="10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10"/>
      <c r="D66" s="6"/>
      <c r="E66" s="7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17">
        <v>9.15533446395147E-2</v>
      </c>
      <c r="D67" s="33">
        <v>1</v>
      </c>
      <c r="E67" s="7">
        <v>0.69835904570157326</v>
      </c>
      <c r="F67" s="31">
        <v>1</v>
      </c>
      <c r="G67" s="17" t="s">
        <v>100</v>
      </c>
      <c r="H67" s="31"/>
      <c r="I67" s="17" t="s">
        <v>100</v>
      </c>
      <c r="J67" s="31">
        <v>1.0000673459937566</v>
      </c>
      <c r="K67" s="7">
        <v>0</v>
      </c>
      <c r="L67" s="91">
        <v>0.28500468262226847</v>
      </c>
    </row>
    <row r="68" spans="1:12">
      <c r="A68" s="47" t="s">
        <v>109</v>
      </c>
      <c r="B68" s="9" t="s">
        <v>191</v>
      </c>
      <c r="C68" s="17">
        <v>0.26184478452657101</v>
      </c>
      <c r="D68" s="188">
        <v>1</v>
      </c>
      <c r="E68" s="7">
        <v>2.8355622891478629</v>
      </c>
      <c r="F68" s="31">
        <v>1</v>
      </c>
      <c r="G68" s="7">
        <v>0</v>
      </c>
      <c r="H68" s="31">
        <v>0.21846292977490611</v>
      </c>
      <c r="I68" s="7">
        <v>0</v>
      </c>
      <c r="J68" s="31">
        <v>1.0000673459937566</v>
      </c>
      <c r="K68" s="7">
        <v>0</v>
      </c>
      <c r="L68" s="91">
        <v>0.36068574401664932</v>
      </c>
    </row>
    <row r="69" spans="1:12">
      <c r="A69" s="47" t="s">
        <v>153</v>
      </c>
      <c r="B69" s="9" t="s">
        <v>190</v>
      </c>
      <c r="C69" s="10"/>
      <c r="D69" s="6"/>
      <c r="E69" s="10">
        <v>6.2859872245106904E-2</v>
      </c>
      <c r="F69" s="98">
        <v>1</v>
      </c>
      <c r="G69" s="17" t="s">
        <v>100</v>
      </c>
      <c r="H69" s="31"/>
      <c r="I69" s="10">
        <v>1.2568057567719011E-2</v>
      </c>
      <c r="J69" s="31">
        <v>0.81719481737773159</v>
      </c>
      <c r="K69" s="7">
        <v>0</v>
      </c>
      <c r="L69" s="91">
        <v>0.36068574401664932</v>
      </c>
    </row>
    <row r="70" spans="1:12">
      <c r="A70" s="47" t="s">
        <v>154</v>
      </c>
      <c r="B70" s="9" t="s">
        <v>190</v>
      </c>
      <c r="C70" s="10"/>
      <c r="D70" s="6"/>
      <c r="E70" s="7">
        <v>0</v>
      </c>
      <c r="F70" s="98">
        <v>0.4762454379153393</v>
      </c>
      <c r="G70" s="7">
        <v>0</v>
      </c>
      <c r="H70" s="31">
        <v>0.21846292977490611</v>
      </c>
      <c r="I70" s="7">
        <v>0</v>
      </c>
      <c r="J70" s="31">
        <v>0.693651633194589</v>
      </c>
      <c r="K70" s="10">
        <v>9.2776656909881461E-2</v>
      </c>
      <c r="L70" s="91">
        <v>0.5445010405827263</v>
      </c>
    </row>
    <row r="71" spans="1:12">
      <c r="A71" s="47" t="s">
        <v>142</v>
      </c>
      <c r="B71" s="9" t="s">
        <v>202</v>
      </c>
      <c r="C71" s="10"/>
      <c r="D71" s="6"/>
      <c r="E71" s="7">
        <v>0</v>
      </c>
      <c r="F71" s="98">
        <v>0.70103267033835848</v>
      </c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10"/>
      <c r="D72" s="6"/>
      <c r="E72" s="7"/>
      <c r="F72" s="8"/>
      <c r="G72" s="17" t="s">
        <v>100</v>
      </c>
      <c r="H72" s="31"/>
      <c r="I72" s="10">
        <v>3.7736006688890864E-2</v>
      </c>
      <c r="J72" s="31">
        <v>0.81719481737773159</v>
      </c>
      <c r="K72" s="10"/>
      <c r="L72" s="10"/>
    </row>
    <row r="73" spans="1:12">
      <c r="A73" s="47" t="s">
        <v>156</v>
      </c>
      <c r="B73" s="9" t="s">
        <v>202</v>
      </c>
      <c r="C73" s="10"/>
      <c r="D73" s="6"/>
      <c r="E73" s="7"/>
      <c r="F73" s="8"/>
      <c r="G73" s="17" t="s">
        <v>100</v>
      </c>
      <c r="H73" s="31"/>
      <c r="I73" s="7">
        <v>0</v>
      </c>
      <c r="J73" s="31">
        <v>0.51077910457856401</v>
      </c>
      <c r="K73" s="10"/>
      <c r="L73" s="10"/>
    </row>
    <row r="74" spans="1:12">
      <c r="A74" s="47"/>
      <c r="B74" s="9"/>
      <c r="C74" s="10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10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10"/>
      <c r="D76" s="6"/>
      <c r="E76" s="7">
        <v>8.2315103882255602</v>
      </c>
      <c r="F76" s="98">
        <v>0.5464065417291355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10"/>
      <c r="D77" s="6"/>
      <c r="E77" s="7"/>
      <c r="F77" s="8"/>
      <c r="G77" s="17"/>
      <c r="H77" s="29"/>
      <c r="I77" s="17">
        <v>1.8107171085406719</v>
      </c>
      <c r="J77" s="31">
        <v>0.81719481737773159</v>
      </c>
      <c r="K77" s="10"/>
      <c r="L77" s="10"/>
    </row>
    <row r="78" spans="1:12">
      <c r="A78" s="47" t="s">
        <v>160</v>
      </c>
      <c r="B78" s="9" t="s">
        <v>190</v>
      </c>
      <c r="C78" s="10"/>
      <c r="D78" s="6"/>
      <c r="E78" s="7"/>
      <c r="F78" s="8"/>
      <c r="G78" s="17"/>
      <c r="H78" s="29"/>
      <c r="I78" s="17">
        <v>7.478439928593084</v>
      </c>
      <c r="J78" s="31">
        <v>0.81719481737773159</v>
      </c>
      <c r="K78" s="10"/>
      <c r="L78" s="10"/>
    </row>
    <row r="79" spans="1:12">
      <c r="A79" s="47" t="s">
        <v>161</v>
      </c>
      <c r="B79" s="9" t="s">
        <v>190</v>
      </c>
      <c r="C79" s="10"/>
      <c r="D79" s="6"/>
      <c r="E79" s="7"/>
      <c r="F79" s="8"/>
      <c r="G79" s="7">
        <v>0</v>
      </c>
      <c r="H79" s="31">
        <v>0.21846292977490611</v>
      </c>
      <c r="I79" s="17">
        <v>2.6434223923251614</v>
      </c>
      <c r="J79" s="31">
        <v>1.0000673459937566</v>
      </c>
      <c r="K79" s="7">
        <v>0</v>
      </c>
      <c r="L79" s="91">
        <v>0.66556659729448486</v>
      </c>
    </row>
    <row r="80" spans="1:12">
      <c r="A80" s="47" t="s">
        <v>112</v>
      </c>
      <c r="B80" s="9" t="s">
        <v>190</v>
      </c>
      <c r="C80" s="10"/>
      <c r="D80" s="6"/>
      <c r="E80" s="7"/>
      <c r="F80" s="8"/>
      <c r="G80" s="17" t="s">
        <v>100</v>
      </c>
      <c r="H80" s="31"/>
      <c r="I80" s="17">
        <v>1.8495112388734398</v>
      </c>
      <c r="J80" s="31">
        <v>1.0000673459937566</v>
      </c>
      <c r="K80" s="10"/>
      <c r="L80" s="10"/>
    </row>
    <row r="81" spans="1:12">
      <c r="A81" s="47" t="s">
        <v>162</v>
      </c>
      <c r="B81" s="9" t="s">
        <v>190</v>
      </c>
      <c r="C81" s="10"/>
      <c r="D81" s="6"/>
      <c r="E81" s="7"/>
      <c r="F81" s="8"/>
      <c r="G81" s="7"/>
      <c r="H81" s="8"/>
      <c r="I81" s="10"/>
      <c r="J81" s="6"/>
      <c r="K81" s="10">
        <v>6.414855010885268</v>
      </c>
      <c r="L81" s="91">
        <v>0.99971800208116546</v>
      </c>
    </row>
    <row r="82" spans="1:12">
      <c r="A82" s="47" t="s">
        <v>163</v>
      </c>
      <c r="B82" s="9" t="s">
        <v>190</v>
      </c>
      <c r="C82" s="10"/>
      <c r="D82" s="6"/>
      <c r="E82" s="7"/>
      <c r="F82" s="8"/>
      <c r="G82" s="7"/>
      <c r="H82" s="8"/>
      <c r="I82" s="10"/>
      <c r="J82" s="6"/>
      <c r="K82" s="7">
        <v>0</v>
      </c>
      <c r="L82" s="91">
        <v>0.84938189386056195</v>
      </c>
    </row>
    <row r="83" spans="1:12">
      <c r="A83" s="47" t="s">
        <v>137</v>
      </c>
      <c r="B83" s="9" t="s">
        <v>190</v>
      </c>
      <c r="C83" s="10"/>
      <c r="D83" s="6"/>
      <c r="E83" s="17">
        <v>0.41246595130785357</v>
      </c>
      <c r="F83" s="98">
        <v>0.31622921284742239</v>
      </c>
      <c r="G83" s="7">
        <v>4.6997119076600605E-2</v>
      </c>
      <c r="H83" s="31">
        <v>0.21846292977490611</v>
      </c>
      <c r="I83" s="10"/>
      <c r="J83" s="6"/>
      <c r="K83" s="10"/>
      <c r="L83" s="10"/>
    </row>
    <row r="84" spans="1:12">
      <c r="A84" s="47"/>
      <c r="B84" s="9"/>
      <c r="C84" s="10"/>
      <c r="D84" s="6"/>
      <c r="E84" s="7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10"/>
      <c r="D85" s="6"/>
      <c r="E85" s="7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17">
        <v>5.3851187705027698E-2</v>
      </c>
      <c r="D86" s="98">
        <v>0.81295638095238099</v>
      </c>
      <c r="E86" s="7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7">
        <v>60.863169436771742</v>
      </c>
      <c r="D87" s="98">
        <v>0.81295638095238099</v>
      </c>
      <c r="E87" s="7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10"/>
      <c r="D88" s="6"/>
      <c r="E88" s="7">
        <v>1607.73198011502</v>
      </c>
      <c r="F88" s="98">
        <v>1</v>
      </c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10"/>
      <c r="D89" s="6"/>
      <c r="E89" s="7"/>
      <c r="F89" s="8"/>
      <c r="G89" s="7"/>
      <c r="H89" s="8"/>
      <c r="I89" s="17">
        <v>92.961481352141135</v>
      </c>
      <c r="J89" s="31">
        <v>1.0000673459937566</v>
      </c>
      <c r="K89" s="10"/>
      <c r="L89" s="10"/>
    </row>
    <row r="90" spans="1:12">
      <c r="A90" s="47" t="s">
        <v>168</v>
      </c>
      <c r="B90" s="9" t="s">
        <v>190</v>
      </c>
      <c r="C90" s="10"/>
      <c r="D90" s="6"/>
      <c r="E90" s="7"/>
      <c r="F90" s="8"/>
      <c r="G90" s="7"/>
      <c r="H90" s="8"/>
      <c r="I90" s="17">
        <v>2.8840873772935198E-2</v>
      </c>
      <c r="J90" s="31">
        <v>0.59532228876170656</v>
      </c>
      <c r="K90" s="10"/>
      <c r="L90" s="10"/>
    </row>
    <row r="91" spans="1:12">
      <c r="A91" s="47" t="s">
        <v>169</v>
      </c>
      <c r="B91" s="9" t="s">
        <v>190</v>
      </c>
      <c r="C91" s="10"/>
      <c r="D91" s="6"/>
      <c r="E91" s="7"/>
      <c r="F91" s="8"/>
      <c r="G91" s="7">
        <v>16.011918469397827</v>
      </c>
      <c r="H91" s="31">
        <v>0.21846292977490611</v>
      </c>
      <c r="I91" s="17">
        <v>1.081092645394939</v>
      </c>
      <c r="J91" s="31">
        <v>1.0000673459937566</v>
      </c>
      <c r="K91" s="10"/>
      <c r="L91" s="10"/>
    </row>
    <row r="92" spans="1:12">
      <c r="A92" s="47" t="s">
        <v>170</v>
      </c>
      <c r="B92" s="9" t="s">
        <v>190</v>
      </c>
      <c r="C92" s="10"/>
      <c r="D92" s="6"/>
      <c r="E92" s="7"/>
      <c r="F92" s="8"/>
      <c r="G92" s="7">
        <v>0</v>
      </c>
      <c r="H92" s="31">
        <v>0.21846292977490611</v>
      </c>
      <c r="I92" s="17">
        <v>0</v>
      </c>
      <c r="J92" s="31">
        <v>0.693651633194589</v>
      </c>
      <c r="K92" s="10"/>
      <c r="L92" s="10"/>
    </row>
    <row r="93" spans="1:12">
      <c r="A93" s="47" t="s">
        <v>171</v>
      </c>
      <c r="B93" s="9" t="s">
        <v>190</v>
      </c>
      <c r="C93" s="10"/>
      <c r="D93" s="6"/>
      <c r="E93" s="7"/>
      <c r="F93" s="8"/>
      <c r="G93" s="7">
        <v>21.148703584470272</v>
      </c>
      <c r="H93" s="31">
        <v>0.21846292977490611</v>
      </c>
      <c r="I93" s="17">
        <v>0.46406864277780824</v>
      </c>
      <c r="J93" s="31">
        <v>1.0000673459937566</v>
      </c>
      <c r="K93" s="10">
        <v>1.5089607044849398E-2</v>
      </c>
      <c r="L93" s="91">
        <v>0.66556659729448486</v>
      </c>
    </row>
    <row r="94" spans="1:12">
      <c r="A94" s="47" t="s">
        <v>162</v>
      </c>
      <c r="B94" s="9" t="s">
        <v>190</v>
      </c>
      <c r="C94" s="10"/>
      <c r="D94" s="6"/>
      <c r="E94" s="7"/>
      <c r="F94" s="8"/>
      <c r="G94" s="7"/>
      <c r="H94" s="8"/>
      <c r="I94" s="10"/>
      <c r="J94" s="6"/>
      <c r="K94" s="7">
        <v>0</v>
      </c>
      <c r="L94" s="91">
        <v>0.99971800208116546</v>
      </c>
    </row>
    <row r="95" spans="1:12">
      <c r="A95" s="47" t="s">
        <v>163</v>
      </c>
      <c r="B95" s="9" t="s">
        <v>190</v>
      </c>
      <c r="C95" s="10"/>
      <c r="D95" s="6"/>
      <c r="E95" s="7"/>
      <c r="F95" s="8"/>
      <c r="G95" s="17"/>
      <c r="H95" s="8"/>
      <c r="I95" s="10"/>
      <c r="J95" s="6"/>
      <c r="K95" s="7">
        <v>0</v>
      </c>
      <c r="L95" s="91">
        <v>0.84938189386056195</v>
      </c>
    </row>
    <row r="96" spans="1:12">
      <c r="A96" s="47" t="s">
        <v>172</v>
      </c>
      <c r="B96" s="9" t="s">
        <v>190</v>
      </c>
      <c r="C96" s="10"/>
      <c r="D96" s="6"/>
      <c r="E96" s="7">
        <v>18.108224249744211</v>
      </c>
      <c r="F96" s="98">
        <v>1</v>
      </c>
      <c r="G96" s="17">
        <v>2.4109522086296109</v>
      </c>
      <c r="H96" s="31">
        <v>0.21846292977490611</v>
      </c>
      <c r="I96" s="10"/>
      <c r="J96" s="6"/>
      <c r="K96" s="7">
        <v>0</v>
      </c>
      <c r="L96" s="91">
        <v>0.36068574401664932</v>
      </c>
    </row>
    <row r="97" spans="1:17">
      <c r="A97" s="47" t="s">
        <v>173</v>
      </c>
      <c r="B97" s="9" t="s">
        <v>190</v>
      </c>
      <c r="C97" s="245">
        <v>1.7600897465124898E-5</v>
      </c>
      <c r="D97" s="189">
        <v>0.81295638095238099</v>
      </c>
      <c r="E97" s="35">
        <v>4.4612228632268289</v>
      </c>
      <c r="F97" s="190">
        <v>1</v>
      </c>
      <c r="G97" s="20">
        <v>0</v>
      </c>
      <c r="H97" s="191">
        <v>0.21846292977490611</v>
      </c>
      <c r="I97" s="14"/>
      <c r="J97" s="180"/>
      <c r="K97" s="20">
        <v>0</v>
      </c>
      <c r="L97" s="99">
        <v>0.5445010405827263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100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1483.43858330643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>
        <v>7</v>
      </c>
      <c r="D101" s="266"/>
      <c r="E101" s="266">
        <v>646</v>
      </c>
      <c r="F101" s="266"/>
      <c r="G101" s="266">
        <v>161</v>
      </c>
      <c r="H101" s="266"/>
      <c r="I101" s="266"/>
      <c r="J101" s="266"/>
      <c r="K101" s="266">
        <v>35</v>
      </c>
      <c r="L101" s="266"/>
    </row>
    <row r="102" spans="1:17">
      <c r="A102" s="264" t="s">
        <v>234</v>
      </c>
      <c r="B102" s="265" t="s">
        <v>190</v>
      </c>
      <c r="C102" s="267">
        <v>5.0000000000000001E-4</v>
      </c>
      <c r="D102" s="267"/>
      <c r="E102" s="267">
        <v>4.0800000000000003E-2</v>
      </c>
      <c r="F102" s="267"/>
      <c r="G102" s="275">
        <v>4.0000000000000001E-3</v>
      </c>
      <c r="H102" s="267"/>
      <c r="I102" s="267"/>
      <c r="J102" s="267"/>
      <c r="K102" s="267">
        <v>8.0000000000000004E-4</v>
      </c>
      <c r="L102" s="267"/>
    </row>
    <row r="103" spans="1:17">
      <c r="A103" s="264" t="s">
        <v>235</v>
      </c>
      <c r="B103" s="265" t="s">
        <v>190</v>
      </c>
      <c r="C103" s="268">
        <v>1E-4</v>
      </c>
      <c r="D103" s="268"/>
      <c r="E103" s="268">
        <v>5.5999999999999999E-3</v>
      </c>
      <c r="F103" s="268"/>
      <c r="G103" s="268">
        <v>5.9999999999999995E-4</v>
      </c>
      <c r="H103" s="268"/>
      <c r="I103" s="268"/>
      <c r="J103" s="268"/>
      <c r="K103" s="268">
        <v>1E-4</v>
      </c>
      <c r="L103" s="268"/>
    </row>
  </sheetData>
  <mergeCells count="2"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D48"/>
  <sheetViews>
    <sheetView showGridLines="0" zoomScale="80" zoomScaleNormal="80" zoomScalePageLayoutView="70" workbookViewId="0">
      <selection activeCell="D18" sqref="D18"/>
    </sheetView>
  </sheetViews>
  <sheetFormatPr baseColWidth="10" defaultColWidth="8.83203125" defaultRowHeight="13"/>
  <cols>
    <col min="1" max="1" width="11.1640625" style="109" customWidth="1"/>
    <col min="2" max="2" width="11" style="109" customWidth="1"/>
    <col min="3" max="9" width="9.1640625" style="109"/>
    <col min="10" max="10" width="10.5" style="109" customWidth="1"/>
    <col min="11" max="11" width="14.5" style="109" customWidth="1"/>
    <col min="12" max="12" width="9.1640625" style="109"/>
    <col min="13" max="13" width="13" style="109" customWidth="1"/>
    <col min="14" max="19" width="9.1640625" style="109"/>
    <col min="20" max="20" width="14.5" style="109" customWidth="1"/>
    <col min="21" max="21" width="10.5" style="109" customWidth="1"/>
    <col min="22" max="256" width="9.1640625" style="109"/>
    <col min="257" max="257" width="11.1640625" style="109" customWidth="1"/>
    <col min="258" max="258" width="11" style="109" customWidth="1"/>
    <col min="259" max="265" width="9.1640625" style="109"/>
    <col min="266" max="266" width="10.5" style="109" customWidth="1"/>
    <col min="267" max="267" width="14.5" style="109" customWidth="1"/>
    <col min="268" max="268" width="9.1640625" style="109"/>
    <col min="269" max="269" width="13" style="109" customWidth="1"/>
    <col min="270" max="275" width="9.1640625" style="109"/>
    <col min="276" max="276" width="14.5" style="109" customWidth="1"/>
    <col min="277" max="277" width="10.5" style="109" customWidth="1"/>
    <col min="278" max="512" width="9.1640625" style="109"/>
    <col min="513" max="513" width="11.1640625" style="109" customWidth="1"/>
    <col min="514" max="514" width="11" style="109" customWidth="1"/>
    <col min="515" max="521" width="9.1640625" style="109"/>
    <col min="522" max="522" width="10.5" style="109" customWidth="1"/>
    <col min="523" max="523" width="14.5" style="109" customWidth="1"/>
    <col min="524" max="524" width="9.1640625" style="109"/>
    <col min="525" max="525" width="13" style="109" customWidth="1"/>
    <col min="526" max="531" width="9.1640625" style="109"/>
    <col min="532" max="532" width="14.5" style="109" customWidth="1"/>
    <col min="533" max="533" width="10.5" style="109" customWidth="1"/>
    <col min="534" max="768" width="9.1640625" style="109"/>
    <col min="769" max="769" width="11.1640625" style="109" customWidth="1"/>
    <col min="770" max="770" width="11" style="109" customWidth="1"/>
    <col min="771" max="777" width="9.1640625" style="109"/>
    <col min="778" max="778" width="10.5" style="109" customWidth="1"/>
    <col min="779" max="779" width="14.5" style="109" customWidth="1"/>
    <col min="780" max="780" width="9.1640625" style="109"/>
    <col min="781" max="781" width="13" style="109" customWidth="1"/>
    <col min="782" max="787" width="9.1640625" style="109"/>
    <col min="788" max="788" width="14.5" style="109" customWidth="1"/>
    <col min="789" max="789" width="10.5" style="109" customWidth="1"/>
    <col min="790" max="1024" width="9.1640625" style="109"/>
    <col min="1025" max="1025" width="11.1640625" style="109" customWidth="1"/>
    <col min="1026" max="1026" width="11" style="109" customWidth="1"/>
    <col min="1027" max="1033" width="9.1640625" style="109"/>
    <col min="1034" max="1034" width="10.5" style="109" customWidth="1"/>
    <col min="1035" max="1035" width="14.5" style="109" customWidth="1"/>
    <col min="1036" max="1036" width="9.1640625" style="109"/>
    <col min="1037" max="1037" width="13" style="109" customWidth="1"/>
    <col min="1038" max="1043" width="9.1640625" style="109"/>
    <col min="1044" max="1044" width="14.5" style="109" customWidth="1"/>
    <col min="1045" max="1045" width="10.5" style="109" customWidth="1"/>
    <col min="1046" max="1280" width="9.1640625" style="109"/>
    <col min="1281" max="1281" width="11.1640625" style="109" customWidth="1"/>
    <col min="1282" max="1282" width="11" style="109" customWidth="1"/>
    <col min="1283" max="1289" width="9.1640625" style="109"/>
    <col min="1290" max="1290" width="10.5" style="109" customWidth="1"/>
    <col min="1291" max="1291" width="14.5" style="109" customWidth="1"/>
    <col min="1292" max="1292" width="9.1640625" style="109"/>
    <col min="1293" max="1293" width="13" style="109" customWidth="1"/>
    <col min="1294" max="1299" width="9.1640625" style="109"/>
    <col min="1300" max="1300" width="14.5" style="109" customWidth="1"/>
    <col min="1301" max="1301" width="10.5" style="109" customWidth="1"/>
    <col min="1302" max="1536" width="9.1640625" style="109"/>
    <col min="1537" max="1537" width="11.1640625" style="109" customWidth="1"/>
    <col min="1538" max="1538" width="11" style="109" customWidth="1"/>
    <col min="1539" max="1545" width="9.1640625" style="109"/>
    <col min="1546" max="1546" width="10.5" style="109" customWidth="1"/>
    <col min="1547" max="1547" width="14.5" style="109" customWidth="1"/>
    <col min="1548" max="1548" width="9.1640625" style="109"/>
    <col min="1549" max="1549" width="13" style="109" customWidth="1"/>
    <col min="1550" max="1555" width="9.1640625" style="109"/>
    <col min="1556" max="1556" width="14.5" style="109" customWidth="1"/>
    <col min="1557" max="1557" width="10.5" style="109" customWidth="1"/>
    <col min="1558" max="1792" width="9.1640625" style="109"/>
    <col min="1793" max="1793" width="11.1640625" style="109" customWidth="1"/>
    <col min="1794" max="1794" width="11" style="109" customWidth="1"/>
    <col min="1795" max="1801" width="9.1640625" style="109"/>
    <col min="1802" max="1802" width="10.5" style="109" customWidth="1"/>
    <col min="1803" max="1803" width="14.5" style="109" customWidth="1"/>
    <col min="1804" max="1804" width="9.1640625" style="109"/>
    <col min="1805" max="1805" width="13" style="109" customWidth="1"/>
    <col min="1806" max="1811" width="9.1640625" style="109"/>
    <col min="1812" max="1812" width="14.5" style="109" customWidth="1"/>
    <col min="1813" max="1813" width="10.5" style="109" customWidth="1"/>
    <col min="1814" max="2048" width="9.1640625" style="109"/>
    <col min="2049" max="2049" width="11.1640625" style="109" customWidth="1"/>
    <col min="2050" max="2050" width="11" style="109" customWidth="1"/>
    <col min="2051" max="2057" width="9.1640625" style="109"/>
    <col min="2058" max="2058" width="10.5" style="109" customWidth="1"/>
    <col min="2059" max="2059" width="14.5" style="109" customWidth="1"/>
    <col min="2060" max="2060" width="9.1640625" style="109"/>
    <col min="2061" max="2061" width="13" style="109" customWidth="1"/>
    <col min="2062" max="2067" width="9.1640625" style="109"/>
    <col min="2068" max="2068" width="14.5" style="109" customWidth="1"/>
    <col min="2069" max="2069" width="10.5" style="109" customWidth="1"/>
    <col min="2070" max="2304" width="9.1640625" style="109"/>
    <col min="2305" max="2305" width="11.1640625" style="109" customWidth="1"/>
    <col min="2306" max="2306" width="11" style="109" customWidth="1"/>
    <col min="2307" max="2313" width="9.1640625" style="109"/>
    <col min="2314" max="2314" width="10.5" style="109" customWidth="1"/>
    <col min="2315" max="2315" width="14.5" style="109" customWidth="1"/>
    <col min="2316" max="2316" width="9.1640625" style="109"/>
    <col min="2317" max="2317" width="13" style="109" customWidth="1"/>
    <col min="2318" max="2323" width="9.1640625" style="109"/>
    <col min="2324" max="2324" width="14.5" style="109" customWidth="1"/>
    <col min="2325" max="2325" width="10.5" style="109" customWidth="1"/>
    <col min="2326" max="2560" width="9.1640625" style="109"/>
    <col min="2561" max="2561" width="11.1640625" style="109" customWidth="1"/>
    <col min="2562" max="2562" width="11" style="109" customWidth="1"/>
    <col min="2563" max="2569" width="9.1640625" style="109"/>
    <col min="2570" max="2570" width="10.5" style="109" customWidth="1"/>
    <col min="2571" max="2571" width="14.5" style="109" customWidth="1"/>
    <col min="2572" max="2572" width="9.1640625" style="109"/>
    <col min="2573" max="2573" width="13" style="109" customWidth="1"/>
    <col min="2574" max="2579" width="9.1640625" style="109"/>
    <col min="2580" max="2580" width="14.5" style="109" customWidth="1"/>
    <col min="2581" max="2581" width="10.5" style="109" customWidth="1"/>
    <col min="2582" max="2816" width="9.1640625" style="109"/>
    <col min="2817" max="2817" width="11.1640625" style="109" customWidth="1"/>
    <col min="2818" max="2818" width="11" style="109" customWidth="1"/>
    <col min="2819" max="2825" width="9.1640625" style="109"/>
    <col min="2826" max="2826" width="10.5" style="109" customWidth="1"/>
    <col min="2827" max="2827" width="14.5" style="109" customWidth="1"/>
    <col min="2828" max="2828" width="9.1640625" style="109"/>
    <col min="2829" max="2829" width="13" style="109" customWidth="1"/>
    <col min="2830" max="2835" width="9.1640625" style="109"/>
    <col min="2836" max="2836" width="14.5" style="109" customWidth="1"/>
    <col min="2837" max="2837" width="10.5" style="109" customWidth="1"/>
    <col min="2838" max="3072" width="9.1640625" style="109"/>
    <col min="3073" max="3073" width="11.1640625" style="109" customWidth="1"/>
    <col min="3074" max="3074" width="11" style="109" customWidth="1"/>
    <col min="3075" max="3081" width="9.1640625" style="109"/>
    <col min="3082" max="3082" width="10.5" style="109" customWidth="1"/>
    <col min="3083" max="3083" width="14.5" style="109" customWidth="1"/>
    <col min="3084" max="3084" width="9.1640625" style="109"/>
    <col min="3085" max="3085" width="13" style="109" customWidth="1"/>
    <col min="3086" max="3091" width="9.1640625" style="109"/>
    <col min="3092" max="3092" width="14.5" style="109" customWidth="1"/>
    <col min="3093" max="3093" width="10.5" style="109" customWidth="1"/>
    <col min="3094" max="3328" width="9.1640625" style="109"/>
    <col min="3329" max="3329" width="11.1640625" style="109" customWidth="1"/>
    <col min="3330" max="3330" width="11" style="109" customWidth="1"/>
    <col min="3331" max="3337" width="9.1640625" style="109"/>
    <col min="3338" max="3338" width="10.5" style="109" customWidth="1"/>
    <col min="3339" max="3339" width="14.5" style="109" customWidth="1"/>
    <col min="3340" max="3340" width="9.1640625" style="109"/>
    <col min="3341" max="3341" width="13" style="109" customWidth="1"/>
    <col min="3342" max="3347" width="9.1640625" style="109"/>
    <col min="3348" max="3348" width="14.5" style="109" customWidth="1"/>
    <col min="3349" max="3349" width="10.5" style="109" customWidth="1"/>
    <col min="3350" max="3584" width="9.1640625" style="109"/>
    <col min="3585" max="3585" width="11.1640625" style="109" customWidth="1"/>
    <col min="3586" max="3586" width="11" style="109" customWidth="1"/>
    <col min="3587" max="3593" width="9.1640625" style="109"/>
    <col min="3594" max="3594" width="10.5" style="109" customWidth="1"/>
    <col min="3595" max="3595" width="14.5" style="109" customWidth="1"/>
    <col min="3596" max="3596" width="9.1640625" style="109"/>
    <col min="3597" max="3597" width="13" style="109" customWidth="1"/>
    <col min="3598" max="3603" width="9.1640625" style="109"/>
    <col min="3604" max="3604" width="14.5" style="109" customWidth="1"/>
    <col min="3605" max="3605" width="10.5" style="109" customWidth="1"/>
    <col min="3606" max="3840" width="9.1640625" style="109"/>
    <col min="3841" max="3841" width="11.1640625" style="109" customWidth="1"/>
    <col min="3842" max="3842" width="11" style="109" customWidth="1"/>
    <col min="3843" max="3849" width="9.1640625" style="109"/>
    <col min="3850" max="3850" width="10.5" style="109" customWidth="1"/>
    <col min="3851" max="3851" width="14.5" style="109" customWidth="1"/>
    <col min="3852" max="3852" width="9.1640625" style="109"/>
    <col min="3853" max="3853" width="13" style="109" customWidth="1"/>
    <col min="3854" max="3859" width="9.1640625" style="109"/>
    <col min="3860" max="3860" width="14.5" style="109" customWidth="1"/>
    <col min="3861" max="3861" width="10.5" style="109" customWidth="1"/>
    <col min="3862" max="4096" width="9.1640625" style="109"/>
    <col min="4097" max="4097" width="11.1640625" style="109" customWidth="1"/>
    <col min="4098" max="4098" width="11" style="109" customWidth="1"/>
    <col min="4099" max="4105" width="9.1640625" style="109"/>
    <col min="4106" max="4106" width="10.5" style="109" customWidth="1"/>
    <col min="4107" max="4107" width="14.5" style="109" customWidth="1"/>
    <col min="4108" max="4108" width="9.1640625" style="109"/>
    <col min="4109" max="4109" width="13" style="109" customWidth="1"/>
    <col min="4110" max="4115" width="9.1640625" style="109"/>
    <col min="4116" max="4116" width="14.5" style="109" customWidth="1"/>
    <col min="4117" max="4117" width="10.5" style="109" customWidth="1"/>
    <col min="4118" max="4352" width="9.1640625" style="109"/>
    <col min="4353" max="4353" width="11.1640625" style="109" customWidth="1"/>
    <col min="4354" max="4354" width="11" style="109" customWidth="1"/>
    <col min="4355" max="4361" width="9.1640625" style="109"/>
    <col min="4362" max="4362" width="10.5" style="109" customWidth="1"/>
    <col min="4363" max="4363" width="14.5" style="109" customWidth="1"/>
    <col min="4364" max="4364" width="9.1640625" style="109"/>
    <col min="4365" max="4365" width="13" style="109" customWidth="1"/>
    <col min="4366" max="4371" width="9.1640625" style="109"/>
    <col min="4372" max="4372" width="14.5" style="109" customWidth="1"/>
    <col min="4373" max="4373" width="10.5" style="109" customWidth="1"/>
    <col min="4374" max="4608" width="9.1640625" style="109"/>
    <col min="4609" max="4609" width="11.1640625" style="109" customWidth="1"/>
    <col min="4610" max="4610" width="11" style="109" customWidth="1"/>
    <col min="4611" max="4617" width="9.1640625" style="109"/>
    <col min="4618" max="4618" width="10.5" style="109" customWidth="1"/>
    <col min="4619" max="4619" width="14.5" style="109" customWidth="1"/>
    <col min="4620" max="4620" width="9.1640625" style="109"/>
    <col min="4621" max="4621" width="13" style="109" customWidth="1"/>
    <col min="4622" max="4627" width="9.1640625" style="109"/>
    <col min="4628" max="4628" width="14.5" style="109" customWidth="1"/>
    <col min="4629" max="4629" width="10.5" style="109" customWidth="1"/>
    <col min="4630" max="4864" width="9.1640625" style="109"/>
    <col min="4865" max="4865" width="11.1640625" style="109" customWidth="1"/>
    <col min="4866" max="4866" width="11" style="109" customWidth="1"/>
    <col min="4867" max="4873" width="9.1640625" style="109"/>
    <col min="4874" max="4874" width="10.5" style="109" customWidth="1"/>
    <col min="4875" max="4875" width="14.5" style="109" customWidth="1"/>
    <col min="4876" max="4876" width="9.1640625" style="109"/>
    <col min="4877" max="4877" width="13" style="109" customWidth="1"/>
    <col min="4878" max="4883" width="9.1640625" style="109"/>
    <col min="4884" max="4884" width="14.5" style="109" customWidth="1"/>
    <col min="4885" max="4885" width="10.5" style="109" customWidth="1"/>
    <col min="4886" max="5120" width="9.1640625" style="109"/>
    <col min="5121" max="5121" width="11.1640625" style="109" customWidth="1"/>
    <col min="5122" max="5122" width="11" style="109" customWidth="1"/>
    <col min="5123" max="5129" width="9.1640625" style="109"/>
    <col min="5130" max="5130" width="10.5" style="109" customWidth="1"/>
    <col min="5131" max="5131" width="14.5" style="109" customWidth="1"/>
    <col min="5132" max="5132" width="9.1640625" style="109"/>
    <col min="5133" max="5133" width="13" style="109" customWidth="1"/>
    <col min="5134" max="5139" width="9.1640625" style="109"/>
    <col min="5140" max="5140" width="14.5" style="109" customWidth="1"/>
    <col min="5141" max="5141" width="10.5" style="109" customWidth="1"/>
    <col min="5142" max="5376" width="9.1640625" style="109"/>
    <col min="5377" max="5377" width="11.1640625" style="109" customWidth="1"/>
    <col min="5378" max="5378" width="11" style="109" customWidth="1"/>
    <col min="5379" max="5385" width="9.1640625" style="109"/>
    <col min="5386" max="5386" width="10.5" style="109" customWidth="1"/>
    <col min="5387" max="5387" width="14.5" style="109" customWidth="1"/>
    <col min="5388" max="5388" width="9.1640625" style="109"/>
    <col min="5389" max="5389" width="13" style="109" customWidth="1"/>
    <col min="5390" max="5395" width="9.1640625" style="109"/>
    <col min="5396" max="5396" width="14.5" style="109" customWidth="1"/>
    <col min="5397" max="5397" width="10.5" style="109" customWidth="1"/>
    <col min="5398" max="5632" width="9.1640625" style="109"/>
    <col min="5633" max="5633" width="11.1640625" style="109" customWidth="1"/>
    <col min="5634" max="5634" width="11" style="109" customWidth="1"/>
    <col min="5635" max="5641" width="9.1640625" style="109"/>
    <col min="5642" max="5642" width="10.5" style="109" customWidth="1"/>
    <col min="5643" max="5643" width="14.5" style="109" customWidth="1"/>
    <col min="5644" max="5644" width="9.1640625" style="109"/>
    <col min="5645" max="5645" width="13" style="109" customWidth="1"/>
    <col min="5646" max="5651" width="9.1640625" style="109"/>
    <col min="5652" max="5652" width="14.5" style="109" customWidth="1"/>
    <col min="5653" max="5653" width="10.5" style="109" customWidth="1"/>
    <col min="5654" max="5888" width="9.1640625" style="109"/>
    <col min="5889" max="5889" width="11.1640625" style="109" customWidth="1"/>
    <col min="5890" max="5890" width="11" style="109" customWidth="1"/>
    <col min="5891" max="5897" width="9.1640625" style="109"/>
    <col min="5898" max="5898" width="10.5" style="109" customWidth="1"/>
    <col min="5899" max="5899" width="14.5" style="109" customWidth="1"/>
    <col min="5900" max="5900" width="9.1640625" style="109"/>
    <col min="5901" max="5901" width="13" style="109" customWidth="1"/>
    <col min="5902" max="5907" width="9.1640625" style="109"/>
    <col min="5908" max="5908" width="14.5" style="109" customWidth="1"/>
    <col min="5909" max="5909" width="10.5" style="109" customWidth="1"/>
    <col min="5910" max="6144" width="9.1640625" style="109"/>
    <col min="6145" max="6145" width="11.1640625" style="109" customWidth="1"/>
    <col min="6146" max="6146" width="11" style="109" customWidth="1"/>
    <col min="6147" max="6153" width="9.1640625" style="109"/>
    <col min="6154" max="6154" width="10.5" style="109" customWidth="1"/>
    <col min="6155" max="6155" width="14.5" style="109" customWidth="1"/>
    <col min="6156" max="6156" width="9.1640625" style="109"/>
    <col min="6157" max="6157" width="13" style="109" customWidth="1"/>
    <col min="6158" max="6163" width="9.1640625" style="109"/>
    <col min="6164" max="6164" width="14.5" style="109" customWidth="1"/>
    <col min="6165" max="6165" width="10.5" style="109" customWidth="1"/>
    <col min="6166" max="6400" width="9.1640625" style="109"/>
    <col min="6401" max="6401" width="11.1640625" style="109" customWidth="1"/>
    <col min="6402" max="6402" width="11" style="109" customWidth="1"/>
    <col min="6403" max="6409" width="9.1640625" style="109"/>
    <col min="6410" max="6410" width="10.5" style="109" customWidth="1"/>
    <col min="6411" max="6411" width="14.5" style="109" customWidth="1"/>
    <col min="6412" max="6412" width="9.1640625" style="109"/>
    <col min="6413" max="6413" width="13" style="109" customWidth="1"/>
    <col min="6414" max="6419" width="9.1640625" style="109"/>
    <col min="6420" max="6420" width="14.5" style="109" customWidth="1"/>
    <col min="6421" max="6421" width="10.5" style="109" customWidth="1"/>
    <col min="6422" max="6656" width="9.1640625" style="109"/>
    <col min="6657" max="6657" width="11.1640625" style="109" customWidth="1"/>
    <col min="6658" max="6658" width="11" style="109" customWidth="1"/>
    <col min="6659" max="6665" width="9.1640625" style="109"/>
    <col min="6666" max="6666" width="10.5" style="109" customWidth="1"/>
    <col min="6667" max="6667" width="14.5" style="109" customWidth="1"/>
    <col min="6668" max="6668" width="9.1640625" style="109"/>
    <col min="6669" max="6669" width="13" style="109" customWidth="1"/>
    <col min="6670" max="6675" width="9.1640625" style="109"/>
    <col min="6676" max="6676" width="14.5" style="109" customWidth="1"/>
    <col min="6677" max="6677" width="10.5" style="109" customWidth="1"/>
    <col min="6678" max="6912" width="9.1640625" style="109"/>
    <col min="6913" max="6913" width="11.1640625" style="109" customWidth="1"/>
    <col min="6914" max="6914" width="11" style="109" customWidth="1"/>
    <col min="6915" max="6921" width="9.1640625" style="109"/>
    <col min="6922" max="6922" width="10.5" style="109" customWidth="1"/>
    <col min="6923" max="6923" width="14.5" style="109" customWidth="1"/>
    <col min="6924" max="6924" width="9.1640625" style="109"/>
    <col min="6925" max="6925" width="13" style="109" customWidth="1"/>
    <col min="6926" max="6931" width="9.1640625" style="109"/>
    <col min="6932" max="6932" width="14.5" style="109" customWidth="1"/>
    <col min="6933" max="6933" width="10.5" style="109" customWidth="1"/>
    <col min="6934" max="7168" width="9.1640625" style="109"/>
    <col min="7169" max="7169" width="11.1640625" style="109" customWidth="1"/>
    <col min="7170" max="7170" width="11" style="109" customWidth="1"/>
    <col min="7171" max="7177" width="9.1640625" style="109"/>
    <col min="7178" max="7178" width="10.5" style="109" customWidth="1"/>
    <col min="7179" max="7179" width="14.5" style="109" customWidth="1"/>
    <col min="7180" max="7180" width="9.1640625" style="109"/>
    <col min="7181" max="7181" width="13" style="109" customWidth="1"/>
    <col min="7182" max="7187" width="9.1640625" style="109"/>
    <col min="7188" max="7188" width="14.5" style="109" customWidth="1"/>
    <col min="7189" max="7189" width="10.5" style="109" customWidth="1"/>
    <col min="7190" max="7424" width="9.1640625" style="109"/>
    <col min="7425" max="7425" width="11.1640625" style="109" customWidth="1"/>
    <col min="7426" max="7426" width="11" style="109" customWidth="1"/>
    <col min="7427" max="7433" width="9.1640625" style="109"/>
    <col min="7434" max="7434" width="10.5" style="109" customWidth="1"/>
    <col min="7435" max="7435" width="14.5" style="109" customWidth="1"/>
    <col min="7436" max="7436" width="9.1640625" style="109"/>
    <col min="7437" max="7437" width="13" style="109" customWidth="1"/>
    <col min="7438" max="7443" width="9.1640625" style="109"/>
    <col min="7444" max="7444" width="14.5" style="109" customWidth="1"/>
    <col min="7445" max="7445" width="10.5" style="109" customWidth="1"/>
    <col min="7446" max="7680" width="9.1640625" style="109"/>
    <col min="7681" max="7681" width="11.1640625" style="109" customWidth="1"/>
    <col min="7682" max="7682" width="11" style="109" customWidth="1"/>
    <col min="7683" max="7689" width="9.1640625" style="109"/>
    <col min="7690" max="7690" width="10.5" style="109" customWidth="1"/>
    <col min="7691" max="7691" width="14.5" style="109" customWidth="1"/>
    <col min="7692" max="7692" width="9.1640625" style="109"/>
    <col min="7693" max="7693" width="13" style="109" customWidth="1"/>
    <col min="7694" max="7699" width="9.1640625" style="109"/>
    <col min="7700" max="7700" width="14.5" style="109" customWidth="1"/>
    <col min="7701" max="7701" width="10.5" style="109" customWidth="1"/>
    <col min="7702" max="7936" width="9.1640625" style="109"/>
    <col min="7937" max="7937" width="11.1640625" style="109" customWidth="1"/>
    <col min="7938" max="7938" width="11" style="109" customWidth="1"/>
    <col min="7939" max="7945" width="9.1640625" style="109"/>
    <col min="7946" max="7946" width="10.5" style="109" customWidth="1"/>
    <col min="7947" max="7947" width="14.5" style="109" customWidth="1"/>
    <col min="7948" max="7948" width="9.1640625" style="109"/>
    <col min="7949" max="7949" width="13" style="109" customWidth="1"/>
    <col min="7950" max="7955" width="9.1640625" style="109"/>
    <col min="7956" max="7956" width="14.5" style="109" customWidth="1"/>
    <col min="7957" max="7957" width="10.5" style="109" customWidth="1"/>
    <col min="7958" max="8192" width="9.1640625" style="109"/>
    <col min="8193" max="8193" width="11.1640625" style="109" customWidth="1"/>
    <col min="8194" max="8194" width="11" style="109" customWidth="1"/>
    <col min="8195" max="8201" width="9.1640625" style="109"/>
    <col min="8202" max="8202" width="10.5" style="109" customWidth="1"/>
    <col min="8203" max="8203" width="14.5" style="109" customWidth="1"/>
    <col min="8204" max="8204" width="9.1640625" style="109"/>
    <col min="8205" max="8205" width="13" style="109" customWidth="1"/>
    <col min="8206" max="8211" width="9.1640625" style="109"/>
    <col min="8212" max="8212" width="14.5" style="109" customWidth="1"/>
    <col min="8213" max="8213" width="10.5" style="109" customWidth="1"/>
    <col min="8214" max="8448" width="9.1640625" style="109"/>
    <col min="8449" max="8449" width="11.1640625" style="109" customWidth="1"/>
    <col min="8450" max="8450" width="11" style="109" customWidth="1"/>
    <col min="8451" max="8457" width="9.1640625" style="109"/>
    <col min="8458" max="8458" width="10.5" style="109" customWidth="1"/>
    <col min="8459" max="8459" width="14.5" style="109" customWidth="1"/>
    <col min="8460" max="8460" width="9.1640625" style="109"/>
    <col min="8461" max="8461" width="13" style="109" customWidth="1"/>
    <col min="8462" max="8467" width="9.1640625" style="109"/>
    <col min="8468" max="8468" width="14.5" style="109" customWidth="1"/>
    <col min="8469" max="8469" width="10.5" style="109" customWidth="1"/>
    <col min="8470" max="8704" width="9.1640625" style="109"/>
    <col min="8705" max="8705" width="11.1640625" style="109" customWidth="1"/>
    <col min="8706" max="8706" width="11" style="109" customWidth="1"/>
    <col min="8707" max="8713" width="9.1640625" style="109"/>
    <col min="8714" max="8714" width="10.5" style="109" customWidth="1"/>
    <col min="8715" max="8715" width="14.5" style="109" customWidth="1"/>
    <col min="8716" max="8716" width="9.1640625" style="109"/>
    <col min="8717" max="8717" width="13" style="109" customWidth="1"/>
    <col min="8718" max="8723" width="9.1640625" style="109"/>
    <col min="8724" max="8724" width="14.5" style="109" customWidth="1"/>
    <col min="8725" max="8725" width="10.5" style="109" customWidth="1"/>
    <col min="8726" max="8960" width="9.1640625" style="109"/>
    <col min="8961" max="8961" width="11.1640625" style="109" customWidth="1"/>
    <col min="8962" max="8962" width="11" style="109" customWidth="1"/>
    <col min="8963" max="8969" width="9.1640625" style="109"/>
    <col min="8970" max="8970" width="10.5" style="109" customWidth="1"/>
    <col min="8971" max="8971" width="14.5" style="109" customWidth="1"/>
    <col min="8972" max="8972" width="9.1640625" style="109"/>
    <col min="8973" max="8973" width="13" style="109" customWidth="1"/>
    <col min="8974" max="8979" width="9.1640625" style="109"/>
    <col min="8980" max="8980" width="14.5" style="109" customWidth="1"/>
    <col min="8981" max="8981" width="10.5" style="109" customWidth="1"/>
    <col min="8982" max="9216" width="9.1640625" style="109"/>
    <col min="9217" max="9217" width="11.1640625" style="109" customWidth="1"/>
    <col min="9218" max="9218" width="11" style="109" customWidth="1"/>
    <col min="9219" max="9225" width="9.1640625" style="109"/>
    <col min="9226" max="9226" width="10.5" style="109" customWidth="1"/>
    <col min="9227" max="9227" width="14.5" style="109" customWidth="1"/>
    <col min="9228" max="9228" width="9.1640625" style="109"/>
    <col min="9229" max="9229" width="13" style="109" customWidth="1"/>
    <col min="9230" max="9235" width="9.1640625" style="109"/>
    <col min="9236" max="9236" width="14.5" style="109" customWidth="1"/>
    <col min="9237" max="9237" width="10.5" style="109" customWidth="1"/>
    <col min="9238" max="9472" width="9.1640625" style="109"/>
    <col min="9473" max="9473" width="11.1640625" style="109" customWidth="1"/>
    <col min="9474" max="9474" width="11" style="109" customWidth="1"/>
    <col min="9475" max="9481" width="9.1640625" style="109"/>
    <col min="9482" max="9482" width="10.5" style="109" customWidth="1"/>
    <col min="9483" max="9483" width="14.5" style="109" customWidth="1"/>
    <col min="9484" max="9484" width="9.1640625" style="109"/>
    <col min="9485" max="9485" width="13" style="109" customWidth="1"/>
    <col min="9486" max="9491" width="9.1640625" style="109"/>
    <col min="9492" max="9492" width="14.5" style="109" customWidth="1"/>
    <col min="9493" max="9493" width="10.5" style="109" customWidth="1"/>
    <col min="9494" max="9728" width="9.1640625" style="109"/>
    <col min="9729" max="9729" width="11.1640625" style="109" customWidth="1"/>
    <col min="9730" max="9730" width="11" style="109" customWidth="1"/>
    <col min="9731" max="9737" width="9.1640625" style="109"/>
    <col min="9738" max="9738" width="10.5" style="109" customWidth="1"/>
    <col min="9739" max="9739" width="14.5" style="109" customWidth="1"/>
    <col min="9740" max="9740" width="9.1640625" style="109"/>
    <col min="9741" max="9741" width="13" style="109" customWidth="1"/>
    <col min="9742" max="9747" width="9.1640625" style="109"/>
    <col min="9748" max="9748" width="14.5" style="109" customWidth="1"/>
    <col min="9749" max="9749" width="10.5" style="109" customWidth="1"/>
    <col min="9750" max="9984" width="9.1640625" style="109"/>
    <col min="9985" max="9985" width="11.1640625" style="109" customWidth="1"/>
    <col min="9986" max="9986" width="11" style="109" customWidth="1"/>
    <col min="9987" max="9993" width="9.1640625" style="109"/>
    <col min="9994" max="9994" width="10.5" style="109" customWidth="1"/>
    <col min="9995" max="9995" width="14.5" style="109" customWidth="1"/>
    <col min="9996" max="9996" width="9.1640625" style="109"/>
    <col min="9997" max="9997" width="13" style="109" customWidth="1"/>
    <col min="9998" max="10003" width="9.1640625" style="109"/>
    <col min="10004" max="10004" width="14.5" style="109" customWidth="1"/>
    <col min="10005" max="10005" width="10.5" style="109" customWidth="1"/>
    <col min="10006" max="10240" width="9.1640625" style="109"/>
    <col min="10241" max="10241" width="11.1640625" style="109" customWidth="1"/>
    <col min="10242" max="10242" width="11" style="109" customWidth="1"/>
    <col min="10243" max="10249" width="9.1640625" style="109"/>
    <col min="10250" max="10250" width="10.5" style="109" customWidth="1"/>
    <col min="10251" max="10251" width="14.5" style="109" customWidth="1"/>
    <col min="10252" max="10252" width="9.1640625" style="109"/>
    <col min="10253" max="10253" width="13" style="109" customWidth="1"/>
    <col min="10254" max="10259" width="9.1640625" style="109"/>
    <col min="10260" max="10260" width="14.5" style="109" customWidth="1"/>
    <col min="10261" max="10261" width="10.5" style="109" customWidth="1"/>
    <col min="10262" max="10496" width="9.1640625" style="109"/>
    <col min="10497" max="10497" width="11.1640625" style="109" customWidth="1"/>
    <col min="10498" max="10498" width="11" style="109" customWidth="1"/>
    <col min="10499" max="10505" width="9.1640625" style="109"/>
    <col min="10506" max="10506" width="10.5" style="109" customWidth="1"/>
    <col min="10507" max="10507" width="14.5" style="109" customWidth="1"/>
    <col min="10508" max="10508" width="9.1640625" style="109"/>
    <col min="10509" max="10509" width="13" style="109" customWidth="1"/>
    <col min="10510" max="10515" width="9.1640625" style="109"/>
    <col min="10516" max="10516" width="14.5" style="109" customWidth="1"/>
    <col min="10517" max="10517" width="10.5" style="109" customWidth="1"/>
    <col min="10518" max="10752" width="9.1640625" style="109"/>
    <col min="10753" max="10753" width="11.1640625" style="109" customWidth="1"/>
    <col min="10754" max="10754" width="11" style="109" customWidth="1"/>
    <col min="10755" max="10761" width="9.1640625" style="109"/>
    <col min="10762" max="10762" width="10.5" style="109" customWidth="1"/>
    <col min="10763" max="10763" width="14.5" style="109" customWidth="1"/>
    <col min="10764" max="10764" width="9.1640625" style="109"/>
    <col min="10765" max="10765" width="13" style="109" customWidth="1"/>
    <col min="10766" max="10771" width="9.1640625" style="109"/>
    <col min="10772" max="10772" width="14.5" style="109" customWidth="1"/>
    <col min="10773" max="10773" width="10.5" style="109" customWidth="1"/>
    <col min="10774" max="11008" width="9.1640625" style="109"/>
    <col min="11009" max="11009" width="11.1640625" style="109" customWidth="1"/>
    <col min="11010" max="11010" width="11" style="109" customWidth="1"/>
    <col min="11011" max="11017" width="9.1640625" style="109"/>
    <col min="11018" max="11018" width="10.5" style="109" customWidth="1"/>
    <col min="11019" max="11019" width="14.5" style="109" customWidth="1"/>
    <col min="11020" max="11020" width="9.1640625" style="109"/>
    <col min="11021" max="11021" width="13" style="109" customWidth="1"/>
    <col min="11022" max="11027" width="9.1640625" style="109"/>
    <col min="11028" max="11028" width="14.5" style="109" customWidth="1"/>
    <col min="11029" max="11029" width="10.5" style="109" customWidth="1"/>
    <col min="11030" max="11264" width="9.1640625" style="109"/>
    <col min="11265" max="11265" width="11.1640625" style="109" customWidth="1"/>
    <col min="11266" max="11266" width="11" style="109" customWidth="1"/>
    <col min="11267" max="11273" width="9.1640625" style="109"/>
    <col min="11274" max="11274" width="10.5" style="109" customWidth="1"/>
    <col min="11275" max="11275" width="14.5" style="109" customWidth="1"/>
    <col min="11276" max="11276" width="9.1640625" style="109"/>
    <col min="11277" max="11277" width="13" style="109" customWidth="1"/>
    <col min="11278" max="11283" width="9.1640625" style="109"/>
    <col min="11284" max="11284" width="14.5" style="109" customWidth="1"/>
    <col min="11285" max="11285" width="10.5" style="109" customWidth="1"/>
    <col min="11286" max="11520" width="9.1640625" style="109"/>
    <col min="11521" max="11521" width="11.1640625" style="109" customWidth="1"/>
    <col min="11522" max="11522" width="11" style="109" customWidth="1"/>
    <col min="11523" max="11529" width="9.1640625" style="109"/>
    <col min="11530" max="11530" width="10.5" style="109" customWidth="1"/>
    <col min="11531" max="11531" width="14.5" style="109" customWidth="1"/>
    <col min="11532" max="11532" width="9.1640625" style="109"/>
    <col min="11533" max="11533" width="13" style="109" customWidth="1"/>
    <col min="11534" max="11539" width="9.1640625" style="109"/>
    <col min="11540" max="11540" width="14.5" style="109" customWidth="1"/>
    <col min="11541" max="11541" width="10.5" style="109" customWidth="1"/>
    <col min="11542" max="11776" width="9.1640625" style="109"/>
    <col min="11777" max="11777" width="11.1640625" style="109" customWidth="1"/>
    <col min="11778" max="11778" width="11" style="109" customWidth="1"/>
    <col min="11779" max="11785" width="9.1640625" style="109"/>
    <col min="11786" max="11786" width="10.5" style="109" customWidth="1"/>
    <col min="11787" max="11787" width="14.5" style="109" customWidth="1"/>
    <col min="11788" max="11788" width="9.1640625" style="109"/>
    <col min="11789" max="11789" width="13" style="109" customWidth="1"/>
    <col min="11790" max="11795" width="9.1640625" style="109"/>
    <col min="11796" max="11796" width="14.5" style="109" customWidth="1"/>
    <col min="11797" max="11797" width="10.5" style="109" customWidth="1"/>
    <col min="11798" max="12032" width="9.1640625" style="109"/>
    <col min="12033" max="12033" width="11.1640625" style="109" customWidth="1"/>
    <col min="12034" max="12034" width="11" style="109" customWidth="1"/>
    <col min="12035" max="12041" width="9.1640625" style="109"/>
    <col min="12042" max="12042" width="10.5" style="109" customWidth="1"/>
    <col min="12043" max="12043" width="14.5" style="109" customWidth="1"/>
    <col min="12044" max="12044" width="9.1640625" style="109"/>
    <col min="12045" max="12045" width="13" style="109" customWidth="1"/>
    <col min="12046" max="12051" width="9.1640625" style="109"/>
    <col min="12052" max="12052" width="14.5" style="109" customWidth="1"/>
    <col min="12053" max="12053" width="10.5" style="109" customWidth="1"/>
    <col min="12054" max="12288" width="9.1640625" style="109"/>
    <col min="12289" max="12289" width="11.1640625" style="109" customWidth="1"/>
    <col min="12290" max="12290" width="11" style="109" customWidth="1"/>
    <col min="12291" max="12297" width="9.1640625" style="109"/>
    <col min="12298" max="12298" width="10.5" style="109" customWidth="1"/>
    <col min="12299" max="12299" width="14.5" style="109" customWidth="1"/>
    <col min="12300" max="12300" width="9.1640625" style="109"/>
    <col min="12301" max="12301" width="13" style="109" customWidth="1"/>
    <col min="12302" max="12307" width="9.1640625" style="109"/>
    <col min="12308" max="12308" width="14.5" style="109" customWidth="1"/>
    <col min="12309" max="12309" width="10.5" style="109" customWidth="1"/>
    <col min="12310" max="12544" width="9.1640625" style="109"/>
    <col min="12545" max="12545" width="11.1640625" style="109" customWidth="1"/>
    <col min="12546" max="12546" width="11" style="109" customWidth="1"/>
    <col min="12547" max="12553" width="9.1640625" style="109"/>
    <col min="12554" max="12554" width="10.5" style="109" customWidth="1"/>
    <col min="12555" max="12555" width="14.5" style="109" customWidth="1"/>
    <col min="12556" max="12556" width="9.1640625" style="109"/>
    <col min="12557" max="12557" width="13" style="109" customWidth="1"/>
    <col min="12558" max="12563" width="9.1640625" style="109"/>
    <col min="12564" max="12564" width="14.5" style="109" customWidth="1"/>
    <col min="12565" max="12565" width="10.5" style="109" customWidth="1"/>
    <col min="12566" max="12800" width="9.1640625" style="109"/>
    <col min="12801" max="12801" width="11.1640625" style="109" customWidth="1"/>
    <col min="12802" max="12802" width="11" style="109" customWidth="1"/>
    <col min="12803" max="12809" width="9.1640625" style="109"/>
    <col min="12810" max="12810" width="10.5" style="109" customWidth="1"/>
    <col min="12811" max="12811" width="14.5" style="109" customWidth="1"/>
    <col min="12812" max="12812" width="9.1640625" style="109"/>
    <col min="12813" max="12813" width="13" style="109" customWidth="1"/>
    <col min="12814" max="12819" width="9.1640625" style="109"/>
    <col min="12820" max="12820" width="14.5" style="109" customWidth="1"/>
    <col min="12821" max="12821" width="10.5" style="109" customWidth="1"/>
    <col min="12822" max="13056" width="9.1640625" style="109"/>
    <col min="13057" max="13057" width="11.1640625" style="109" customWidth="1"/>
    <col min="13058" max="13058" width="11" style="109" customWidth="1"/>
    <col min="13059" max="13065" width="9.1640625" style="109"/>
    <col min="13066" max="13066" width="10.5" style="109" customWidth="1"/>
    <col min="13067" max="13067" width="14.5" style="109" customWidth="1"/>
    <col min="13068" max="13068" width="9.1640625" style="109"/>
    <col min="13069" max="13069" width="13" style="109" customWidth="1"/>
    <col min="13070" max="13075" width="9.1640625" style="109"/>
    <col min="13076" max="13076" width="14.5" style="109" customWidth="1"/>
    <col min="13077" max="13077" width="10.5" style="109" customWidth="1"/>
    <col min="13078" max="13312" width="9.1640625" style="109"/>
    <col min="13313" max="13313" width="11.1640625" style="109" customWidth="1"/>
    <col min="13314" max="13314" width="11" style="109" customWidth="1"/>
    <col min="13315" max="13321" width="9.1640625" style="109"/>
    <col min="13322" max="13322" width="10.5" style="109" customWidth="1"/>
    <col min="13323" max="13323" width="14.5" style="109" customWidth="1"/>
    <col min="13324" max="13324" width="9.1640625" style="109"/>
    <col min="13325" max="13325" width="13" style="109" customWidth="1"/>
    <col min="13326" max="13331" width="9.1640625" style="109"/>
    <col min="13332" max="13332" width="14.5" style="109" customWidth="1"/>
    <col min="13333" max="13333" width="10.5" style="109" customWidth="1"/>
    <col min="13334" max="13568" width="9.1640625" style="109"/>
    <col min="13569" max="13569" width="11.1640625" style="109" customWidth="1"/>
    <col min="13570" max="13570" width="11" style="109" customWidth="1"/>
    <col min="13571" max="13577" width="9.1640625" style="109"/>
    <col min="13578" max="13578" width="10.5" style="109" customWidth="1"/>
    <col min="13579" max="13579" width="14.5" style="109" customWidth="1"/>
    <col min="13580" max="13580" width="9.1640625" style="109"/>
    <col min="13581" max="13581" width="13" style="109" customWidth="1"/>
    <col min="13582" max="13587" width="9.1640625" style="109"/>
    <col min="13588" max="13588" width="14.5" style="109" customWidth="1"/>
    <col min="13589" max="13589" width="10.5" style="109" customWidth="1"/>
    <col min="13590" max="13824" width="9.1640625" style="109"/>
    <col min="13825" max="13825" width="11.1640625" style="109" customWidth="1"/>
    <col min="13826" max="13826" width="11" style="109" customWidth="1"/>
    <col min="13827" max="13833" width="9.1640625" style="109"/>
    <col min="13834" max="13834" width="10.5" style="109" customWidth="1"/>
    <col min="13835" max="13835" width="14.5" style="109" customWidth="1"/>
    <col min="13836" max="13836" width="9.1640625" style="109"/>
    <col min="13837" max="13837" width="13" style="109" customWidth="1"/>
    <col min="13838" max="13843" width="9.1640625" style="109"/>
    <col min="13844" max="13844" width="14.5" style="109" customWidth="1"/>
    <col min="13845" max="13845" width="10.5" style="109" customWidth="1"/>
    <col min="13846" max="14080" width="9.1640625" style="109"/>
    <col min="14081" max="14081" width="11.1640625" style="109" customWidth="1"/>
    <col min="14082" max="14082" width="11" style="109" customWidth="1"/>
    <col min="14083" max="14089" width="9.1640625" style="109"/>
    <col min="14090" max="14090" width="10.5" style="109" customWidth="1"/>
    <col min="14091" max="14091" width="14.5" style="109" customWidth="1"/>
    <col min="14092" max="14092" width="9.1640625" style="109"/>
    <col min="14093" max="14093" width="13" style="109" customWidth="1"/>
    <col min="14094" max="14099" width="9.1640625" style="109"/>
    <col min="14100" max="14100" width="14.5" style="109" customWidth="1"/>
    <col min="14101" max="14101" width="10.5" style="109" customWidth="1"/>
    <col min="14102" max="14336" width="9.1640625" style="109"/>
    <col min="14337" max="14337" width="11.1640625" style="109" customWidth="1"/>
    <col min="14338" max="14338" width="11" style="109" customWidth="1"/>
    <col min="14339" max="14345" width="9.1640625" style="109"/>
    <col min="14346" max="14346" width="10.5" style="109" customWidth="1"/>
    <col min="14347" max="14347" width="14.5" style="109" customWidth="1"/>
    <col min="14348" max="14348" width="9.1640625" style="109"/>
    <col min="14349" max="14349" width="13" style="109" customWidth="1"/>
    <col min="14350" max="14355" width="9.1640625" style="109"/>
    <col min="14356" max="14356" width="14.5" style="109" customWidth="1"/>
    <col min="14357" max="14357" width="10.5" style="109" customWidth="1"/>
    <col min="14358" max="14592" width="9.1640625" style="109"/>
    <col min="14593" max="14593" width="11.1640625" style="109" customWidth="1"/>
    <col min="14594" max="14594" width="11" style="109" customWidth="1"/>
    <col min="14595" max="14601" width="9.1640625" style="109"/>
    <col min="14602" max="14602" width="10.5" style="109" customWidth="1"/>
    <col min="14603" max="14603" width="14.5" style="109" customWidth="1"/>
    <col min="14604" max="14604" width="9.1640625" style="109"/>
    <col min="14605" max="14605" width="13" style="109" customWidth="1"/>
    <col min="14606" max="14611" width="9.1640625" style="109"/>
    <col min="14612" max="14612" width="14.5" style="109" customWidth="1"/>
    <col min="14613" max="14613" width="10.5" style="109" customWidth="1"/>
    <col min="14614" max="14848" width="9.1640625" style="109"/>
    <col min="14849" max="14849" width="11.1640625" style="109" customWidth="1"/>
    <col min="14850" max="14850" width="11" style="109" customWidth="1"/>
    <col min="14851" max="14857" width="9.1640625" style="109"/>
    <col min="14858" max="14858" width="10.5" style="109" customWidth="1"/>
    <col min="14859" max="14859" width="14.5" style="109" customWidth="1"/>
    <col min="14860" max="14860" width="9.1640625" style="109"/>
    <col min="14861" max="14861" width="13" style="109" customWidth="1"/>
    <col min="14862" max="14867" width="9.1640625" style="109"/>
    <col min="14868" max="14868" width="14.5" style="109" customWidth="1"/>
    <col min="14869" max="14869" width="10.5" style="109" customWidth="1"/>
    <col min="14870" max="15104" width="9.1640625" style="109"/>
    <col min="15105" max="15105" width="11.1640625" style="109" customWidth="1"/>
    <col min="15106" max="15106" width="11" style="109" customWidth="1"/>
    <col min="15107" max="15113" width="9.1640625" style="109"/>
    <col min="15114" max="15114" width="10.5" style="109" customWidth="1"/>
    <col min="15115" max="15115" width="14.5" style="109" customWidth="1"/>
    <col min="15116" max="15116" width="9.1640625" style="109"/>
    <col min="15117" max="15117" width="13" style="109" customWidth="1"/>
    <col min="15118" max="15123" width="9.1640625" style="109"/>
    <col min="15124" max="15124" width="14.5" style="109" customWidth="1"/>
    <col min="15125" max="15125" width="10.5" style="109" customWidth="1"/>
    <col min="15126" max="15360" width="9.1640625" style="109"/>
    <col min="15361" max="15361" width="11.1640625" style="109" customWidth="1"/>
    <col min="15362" max="15362" width="11" style="109" customWidth="1"/>
    <col min="15363" max="15369" width="9.1640625" style="109"/>
    <col min="15370" max="15370" width="10.5" style="109" customWidth="1"/>
    <col min="15371" max="15371" width="14.5" style="109" customWidth="1"/>
    <col min="15372" max="15372" width="9.1640625" style="109"/>
    <col min="15373" max="15373" width="13" style="109" customWidth="1"/>
    <col min="15374" max="15379" width="9.1640625" style="109"/>
    <col min="15380" max="15380" width="14.5" style="109" customWidth="1"/>
    <col min="15381" max="15381" width="10.5" style="109" customWidth="1"/>
    <col min="15382" max="15616" width="9.1640625" style="109"/>
    <col min="15617" max="15617" width="11.1640625" style="109" customWidth="1"/>
    <col min="15618" max="15618" width="11" style="109" customWidth="1"/>
    <col min="15619" max="15625" width="9.1640625" style="109"/>
    <col min="15626" max="15626" width="10.5" style="109" customWidth="1"/>
    <col min="15627" max="15627" width="14.5" style="109" customWidth="1"/>
    <col min="15628" max="15628" width="9.1640625" style="109"/>
    <col min="15629" max="15629" width="13" style="109" customWidth="1"/>
    <col min="15630" max="15635" width="9.1640625" style="109"/>
    <col min="15636" max="15636" width="14.5" style="109" customWidth="1"/>
    <col min="15637" max="15637" width="10.5" style="109" customWidth="1"/>
    <col min="15638" max="15872" width="9.1640625" style="109"/>
    <col min="15873" max="15873" width="11.1640625" style="109" customWidth="1"/>
    <col min="15874" max="15874" width="11" style="109" customWidth="1"/>
    <col min="15875" max="15881" width="9.1640625" style="109"/>
    <col min="15882" max="15882" width="10.5" style="109" customWidth="1"/>
    <col min="15883" max="15883" width="14.5" style="109" customWidth="1"/>
    <col min="15884" max="15884" width="9.1640625" style="109"/>
    <col min="15885" max="15885" width="13" style="109" customWidth="1"/>
    <col min="15886" max="15891" width="9.1640625" style="109"/>
    <col min="15892" max="15892" width="14.5" style="109" customWidth="1"/>
    <col min="15893" max="15893" width="10.5" style="109" customWidth="1"/>
    <col min="15894" max="16128" width="9.1640625" style="109"/>
    <col min="16129" max="16129" width="11.1640625" style="109" customWidth="1"/>
    <col min="16130" max="16130" width="11" style="109" customWidth="1"/>
    <col min="16131" max="16137" width="9.1640625" style="109"/>
    <col min="16138" max="16138" width="10.5" style="109" customWidth="1"/>
    <col min="16139" max="16139" width="14.5" style="109" customWidth="1"/>
    <col min="16140" max="16140" width="9.1640625" style="109"/>
    <col min="16141" max="16141" width="13" style="109" customWidth="1"/>
    <col min="16142" max="16147" width="9.1640625" style="109"/>
    <col min="16148" max="16148" width="14.5" style="109" customWidth="1"/>
    <col min="16149" max="16149" width="10.5" style="109" customWidth="1"/>
    <col min="16150" max="16384" width="9.1640625" style="109"/>
  </cols>
  <sheetData>
    <row r="8" spans="1:17">
      <c r="A8" s="108" t="s">
        <v>38</v>
      </c>
      <c r="B8" s="109" t="s">
        <v>39</v>
      </c>
    </row>
    <row r="9" spans="1:17" ht="14" thickBot="1">
      <c r="A9" s="108" t="s">
        <v>40</v>
      </c>
      <c r="B9" s="109" t="s">
        <v>41</v>
      </c>
    </row>
    <row r="10" spans="1:17" ht="14" thickBot="1">
      <c r="A10" s="108" t="s">
        <v>42</v>
      </c>
      <c r="B10" s="109" t="s">
        <v>43</v>
      </c>
      <c r="N10" s="289" t="s">
        <v>44</v>
      </c>
      <c r="O10" s="290"/>
      <c r="P10" s="290"/>
      <c r="Q10" s="291"/>
    </row>
    <row r="11" spans="1:17" ht="14" thickBot="1">
      <c r="A11" s="108"/>
      <c r="N11" s="306">
        <f>'Summary (Region &amp; Unit Process)'!C11*1000</f>
        <v>5130.2930894250494</v>
      </c>
      <c r="O11" s="307"/>
      <c r="P11" s="296" t="s">
        <v>45</v>
      </c>
      <c r="Q11" s="297"/>
    </row>
    <row r="12" spans="1:17">
      <c r="N12" s="110"/>
      <c r="O12" s="111"/>
      <c r="P12" s="112"/>
      <c r="Q12" s="110"/>
    </row>
    <row r="13" spans="1:17" ht="14" thickBot="1">
      <c r="N13" s="110"/>
      <c r="O13" s="113"/>
      <c r="P13" s="114"/>
      <c r="Q13" s="110"/>
    </row>
    <row r="14" spans="1:17" ht="14" thickBot="1">
      <c r="E14" s="115"/>
      <c r="F14" s="115"/>
      <c r="G14" s="115"/>
      <c r="H14" s="115"/>
      <c r="N14" s="289" t="s">
        <v>46</v>
      </c>
      <c r="O14" s="290"/>
      <c r="P14" s="290"/>
      <c r="Q14" s="291"/>
    </row>
    <row r="15" spans="1:17" ht="14" thickBot="1">
      <c r="N15" s="294">
        <f>'Summary (Region &amp; Unit Process)'!N13</f>
        <v>8225.4185082716831</v>
      </c>
      <c r="O15" s="295"/>
      <c r="P15" s="296" t="s">
        <v>47</v>
      </c>
      <c r="Q15" s="297"/>
    </row>
    <row r="16" spans="1:17">
      <c r="N16" s="110"/>
      <c r="O16" s="111"/>
      <c r="P16" s="112"/>
      <c r="Q16" s="110"/>
    </row>
    <row r="17" spans="3:24" ht="15" customHeight="1" thickBot="1">
      <c r="N17" s="110"/>
      <c r="O17" s="113"/>
      <c r="P17" s="114"/>
      <c r="Q17" s="110"/>
    </row>
    <row r="18" spans="3:24" ht="14" thickBot="1">
      <c r="H18" s="289" t="s">
        <v>48</v>
      </c>
      <c r="I18" s="290"/>
      <c r="J18" s="290"/>
      <c r="K18" s="291"/>
      <c r="L18" s="116"/>
      <c r="M18" s="117"/>
      <c r="N18" s="289" t="s">
        <v>49</v>
      </c>
      <c r="O18" s="290"/>
      <c r="P18" s="290"/>
      <c r="Q18" s="291"/>
      <c r="R18" s="116"/>
      <c r="S18" s="117"/>
      <c r="T18" s="289" t="s">
        <v>50</v>
      </c>
      <c r="U18" s="290"/>
      <c r="V18" s="290"/>
      <c r="W18" s="291"/>
    </row>
    <row r="19" spans="3:24" ht="14" thickBot="1">
      <c r="H19" s="262">
        <f>'Global (product)'!E18</f>
        <v>52.297973896277298</v>
      </c>
      <c r="I19" s="118"/>
      <c r="J19" s="296" t="s">
        <v>51</v>
      </c>
      <c r="K19" s="297"/>
      <c r="N19" s="294">
        <f>'Summary (Region &amp; Unit Process)'!AK27</f>
        <v>1909.2817205815945</v>
      </c>
      <c r="O19" s="298"/>
      <c r="P19" s="296" t="s">
        <v>52</v>
      </c>
      <c r="Q19" s="297"/>
      <c r="T19" s="294">
        <f>'Summary (Region &amp; Unit Process)'!N19</f>
        <v>154.8140544383381</v>
      </c>
      <c r="U19" s="295"/>
      <c r="V19" s="296" t="s">
        <v>53</v>
      </c>
      <c r="W19" s="297"/>
    </row>
    <row r="20" spans="3:24">
      <c r="N20" s="110"/>
      <c r="O20" s="111"/>
      <c r="P20" s="112"/>
      <c r="Q20" s="110"/>
    </row>
    <row r="21" spans="3:24" ht="15" customHeight="1" thickBot="1">
      <c r="N21" s="110"/>
      <c r="O21" s="119"/>
      <c r="P21" s="120"/>
      <c r="Q21" s="110"/>
    </row>
    <row r="22" spans="3:24" ht="15" customHeight="1" thickBot="1">
      <c r="C22" s="302"/>
      <c r="D22" s="302"/>
      <c r="E22" s="302"/>
      <c r="F22" s="302"/>
      <c r="I22" s="289" t="s">
        <v>54</v>
      </c>
      <c r="J22" s="290"/>
      <c r="K22" s="290"/>
      <c r="L22" s="291"/>
      <c r="N22" s="289" t="s">
        <v>55</v>
      </c>
      <c r="O22" s="290"/>
      <c r="P22" s="290"/>
      <c r="Q22" s="291"/>
      <c r="S22" s="289" t="s">
        <v>54</v>
      </c>
      <c r="T22" s="290"/>
      <c r="U22" s="290"/>
      <c r="V22" s="291"/>
    </row>
    <row r="23" spans="3:24" ht="14" thickBot="1">
      <c r="C23" s="303"/>
      <c r="D23" s="304"/>
      <c r="E23" s="305"/>
      <c r="F23" s="305"/>
      <c r="I23" s="294">
        <f>'Global (product)'!M48</f>
        <v>51010.365431788203</v>
      </c>
      <c r="J23" s="298"/>
      <c r="K23" s="296" t="s">
        <v>230</v>
      </c>
      <c r="L23" s="297"/>
      <c r="N23" s="294">
        <f>'Summary (Region &amp; Unit Process)'!AK13+'Summary (Region &amp; Unit Process)'!AK14+'Summary (Region &amp; Unit Process)'!AK15</f>
        <v>10909.973421507739</v>
      </c>
      <c r="O23" s="295"/>
      <c r="P23" s="296" t="s">
        <v>47</v>
      </c>
      <c r="Q23" s="297"/>
      <c r="S23" s="294">
        <f>'Global (product)'!K48</f>
        <v>60410.055312010802</v>
      </c>
      <c r="T23" s="298"/>
      <c r="U23" s="296" t="s">
        <v>230</v>
      </c>
      <c r="V23" s="297"/>
    </row>
    <row r="24" spans="3:24">
      <c r="L24" s="121"/>
      <c r="P24" s="120"/>
      <c r="T24" s="121"/>
    </row>
    <row r="25" spans="3:24" ht="14" thickBot="1">
      <c r="L25" s="121"/>
      <c r="M25" s="116"/>
      <c r="N25" s="116"/>
      <c r="O25" s="117"/>
      <c r="P25" s="116"/>
      <c r="Q25" s="116"/>
      <c r="R25" s="116"/>
      <c r="T25" s="121"/>
    </row>
    <row r="26" spans="3:24" ht="16" thickBot="1">
      <c r="G26" s="289" t="s">
        <v>56</v>
      </c>
      <c r="H26" s="292"/>
      <c r="I26" s="292"/>
      <c r="J26" s="293"/>
      <c r="K26" s="122"/>
      <c r="L26" s="121"/>
      <c r="M26" s="121"/>
      <c r="O26" s="110"/>
      <c r="P26" s="123"/>
      <c r="S26" s="121"/>
      <c r="T26" s="124"/>
      <c r="U26" s="289" t="s">
        <v>56</v>
      </c>
      <c r="V26" s="292"/>
      <c r="W26" s="292"/>
      <c r="X26" s="293"/>
    </row>
    <row r="27" spans="3:24" ht="14" thickBot="1">
      <c r="G27" s="294">
        <f>'Summary (Region &amp; Unit Process)'!AK29</f>
        <v>6.1486314335008503</v>
      </c>
      <c r="H27" s="298"/>
      <c r="I27" s="296" t="s">
        <v>57</v>
      </c>
      <c r="J27" s="297"/>
      <c r="L27" s="121"/>
      <c r="M27" s="121"/>
      <c r="O27" s="110"/>
      <c r="S27" s="121"/>
      <c r="T27" s="125"/>
      <c r="U27" s="294">
        <f>'Global (product)'!K27</f>
        <v>9.6772836753776996</v>
      </c>
      <c r="V27" s="298"/>
      <c r="W27" s="296" t="s">
        <v>57</v>
      </c>
      <c r="X27" s="297"/>
    </row>
    <row r="28" spans="3:24">
      <c r="G28" s="126"/>
      <c r="H28" s="127"/>
      <c r="I28" s="128"/>
      <c r="J28" s="128"/>
      <c r="K28" s="129"/>
      <c r="M28" s="121"/>
      <c r="O28" s="110"/>
      <c r="S28" s="121"/>
      <c r="T28" s="121"/>
    </row>
    <row r="29" spans="3:24" ht="14" thickBot="1">
      <c r="K29" s="129"/>
      <c r="M29" s="121"/>
      <c r="N29" s="301" t="s">
        <v>58</v>
      </c>
      <c r="O29" s="301"/>
      <c r="P29" s="301"/>
      <c r="Q29" s="301"/>
      <c r="S29" s="121"/>
      <c r="T29" s="121"/>
    </row>
    <row r="30" spans="3:24" ht="14" thickBot="1">
      <c r="G30" s="289" t="s">
        <v>59</v>
      </c>
      <c r="H30" s="290"/>
      <c r="I30" s="290"/>
      <c r="J30" s="291"/>
      <c r="K30" s="124"/>
      <c r="M30" s="121"/>
      <c r="N30" s="301"/>
      <c r="O30" s="301"/>
      <c r="P30" s="301"/>
      <c r="Q30" s="301"/>
      <c r="S30" s="121"/>
      <c r="T30" s="124"/>
      <c r="U30" s="289" t="s">
        <v>59</v>
      </c>
      <c r="V30" s="290"/>
      <c r="W30" s="290"/>
      <c r="X30" s="291"/>
    </row>
    <row r="31" spans="3:24" ht="18" thickBot="1">
      <c r="G31" s="294">
        <f>'Summary (Region &amp; Unit Process)'!AK30</f>
        <v>16.886398228763611</v>
      </c>
      <c r="H31" s="295"/>
      <c r="I31" s="296" t="s">
        <v>60</v>
      </c>
      <c r="J31" s="297"/>
      <c r="K31" s="129"/>
      <c r="M31" s="121"/>
      <c r="N31" s="301"/>
      <c r="O31" s="301"/>
      <c r="P31" s="301"/>
      <c r="Q31" s="301"/>
      <c r="S31" s="121"/>
      <c r="T31" s="121"/>
      <c r="U31" s="294">
        <f>'Global (product)'!K28</f>
        <v>25.162727157911501</v>
      </c>
      <c r="V31" s="298"/>
      <c r="W31" s="296" t="s">
        <v>60</v>
      </c>
      <c r="X31" s="297"/>
    </row>
    <row r="32" spans="3:24" ht="14" thickBot="1">
      <c r="K32" s="129"/>
      <c r="M32" s="121"/>
      <c r="S32" s="121"/>
      <c r="T32" s="121"/>
    </row>
    <row r="33" spans="1:30" ht="15" customHeight="1" thickBot="1">
      <c r="A33" s="289" t="s">
        <v>61</v>
      </c>
      <c r="B33" s="290"/>
      <c r="C33" s="290"/>
      <c r="D33" s="291"/>
      <c r="K33" s="129"/>
      <c r="M33" s="121"/>
      <c r="S33" s="121"/>
      <c r="T33" s="121"/>
      <c r="AA33" s="289" t="s">
        <v>61</v>
      </c>
      <c r="AB33" s="290"/>
      <c r="AC33" s="290"/>
      <c r="AD33" s="291"/>
    </row>
    <row r="34" spans="1:30" ht="14" thickBot="1">
      <c r="A34" s="294">
        <f>'Global (product)'!I21*$F$36/$K$36</f>
        <v>371.14622651911134</v>
      </c>
      <c r="B34" s="295"/>
      <c r="C34" s="296" t="s">
        <v>62</v>
      </c>
      <c r="D34" s="297"/>
      <c r="E34" s="122"/>
      <c r="K34" s="117"/>
      <c r="M34" s="122"/>
      <c r="S34" s="122"/>
      <c r="T34" s="122"/>
      <c r="Z34" s="116"/>
      <c r="AA34" s="294">
        <f>'Global (product)'!G21*('Process Flow Diagram'!V36/'Process Flow Diagram'!Q36)</f>
        <v>365.42790057422928</v>
      </c>
      <c r="AB34" s="298"/>
      <c r="AC34" s="296" t="s">
        <v>62</v>
      </c>
      <c r="AD34" s="297"/>
    </row>
    <row r="35" spans="1:30" ht="16" thickBot="1">
      <c r="F35" s="289" t="s">
        <v>63</v>
      </c>
      <c r="G35" s="290"/>
      <c r="H35" s="290"/>
      <c r="I35" s="291"/>
      <c r="J35" s="117"/>
      <c r="K35" s="289" t="s">
        <v>64</v>
      </c>
      <c r="L35" s="292"/>
      <c r="M35" s="292"/>
      <c r="N35" s="130">
        <f>'Global (product)'!L4</f>
        <v>0.95459343041613653</v>
      </c>
      <c r="Q35" s="131">
        <f>'Global (product)'!L5</f>
        <v>4.5406569583863521E-2</v>
      </c>
      <c r="R35" s="290" t="s">
        <v>65</v>
      </c>
      <c r="S35" s="299"/>
      <c r="T35" s="300"/>
      <c r="U35" s="124"/>
      <c r="V35" s="289" t="s">
        <v>63</v>
      </c>
      <c r="W35" s="290"/>
      <c r="X35" s="290"/>
      <c r="Y35" s="291"/>
    </row>
    <row r="36" spans="1:30" ht="14" thickBot="1">
      <c r="E36" s="116"/>
      <c r="F36" s="294">
        <f>'Global (product)'!C4*1000</f>
        <v>499.67032318856303</v>
      </c>
      <c r="G36" s="295"/>
      <c r="H36" s="296" t="s">
        <v>66</v>
      </c>
      <c r="I36" s="297"/>
      <c r="K36" s="294">
        <v>1000</v>
      </c>
      <c r="L36" s="295"/>
      <c r="M36" s="296" t="s">
        <v>67</v>
      </c>
      <c r="N36" s="297"/>
      <c r="Q36" s="294">
        <v>1000</v>
      </c>
      <c r="R36" s="295"/>
      <c r="S36" s="296" t="s">
        <v>67</v>
      </c>
      <c r="T36" s="297"/>
      <c r="V36" s="294">
        <f>'Global (product)'!C5*1000</f>
        <v>516.76381897051886</v>
      </c>
      <c r="W36" s="295"/>
      <c r="X36" s="296" t="s">
        <v>66</v>
      </c>
      <c r="Y36" s="297"/>
      <c r="Z36" s="116"/>
    </row>
    <row r="37" spans="1:30" ht="14" thickBot="1">
      <c r="A37" s="289" t="s">
        <v>68</v>
      </c>
      <c r="B37" s="290"/>
      <c r="C37" s="290"/>
      <c r="D37" s="291"/>
      <c r="F37" s="110"/>
      <c r="G37" s="111"/>
      <c r="H37" s="112"/>
      <c r="I37" s="110"/>
      <c r="K37" s="111"/>
      <c r="M37" s="121"/>
      <c r="N37" s="128"/>
      <c r="S37" s="121"/>
      <c r="T37" s="123"/>
      <c r="AA37" s="289" t="s">
        <v>68</v>
      </c>
      <c r="AB37" s="290"/>
      <c r="AC37" s="290"/>
      <c r="AD37" s="291"/>
    </row>
    <row r="38" spans="1:30" ht="14" thickBot="1">
      <c r="A38" s="294">
        <f>'Global (product)'!I22*$F$36/$K$36</f>
        <v>82.032291579321196</v>
      </c>
      <c r="B38" s="295"/>
      <c r="C38" s="296" t="s">
        <v>69</v>
      </c>
      <c r="D38" s="297"/>
      <c r="H38" s="122"/>
      <c r="K38" s="119"/>
      <c r="M38" s="121"/>
      <c r="S38" s="121"/>
      <c r="AA38" s="294">
        <f>'Global (product)'!G22*'Process Flow Diagram'!V36/'Process Flow Diagram'!Q36</f>
        <v>159.82488821195182</v>
      </c>
      <c r="AB38" s="298"/>
      <c r="AC38" s="296" t="s">
        <v>69</v>
      </c>
      <c r="AD38" s="297"/>
    </row>
    <row r="39" spans="1:30" ht="16" thickBot="1">
      <c r="F39" s="289" t="s">
        <v>70</v>
      </c>
      <c r="G39" s="292"/>
      <c r="H39" s="292"/>
      <c r="I39" s="293"/>
      <c r="J39" s="122"/>
      <c r="K39" s="117"/>
      <c r="M39" s="121"/>
      <c r="S39" s="121"/>
    </row>
    <row r="40" spans="1:30" ht="14" thickBot="1">
      <c r="F40" s="294">
        <f>F36-A34-A38</f>
        <v>46.491805090130498</v>
      </c>
      <c r="G40" s="295"/>
      <c r="H40" s="296" t="s">
        <v>71</v>
      </c>
      <c r="I40" s="297"/>
      <c r="K40" s="110"/>
      <c r="M40" s="122"/>
      <c r="N40" s="116"/>
      <c r="O40" s="116"/>
      <c r="P40" s="116"/>
      <c r="Q40" s="116"/>
      <c r="R40" s="116"/>
      <c r="S40" s="121"/>
    </row>
    <row r="41" spans="1:30">
      <c r="K41" s="110"/>
      <c r="O41" s="129"/>
    </row>
    <row r="42" spans="1:30" ht="14" thickBot="1">
      <c r="O42" s="129"/>
    </row>
    <row r="43" spans="1:30" ht="14" thickBot="1">
      <c r="N43" s="289" t="s">
        <v>72</v>
      </c>
      <c r="O43" s="290"/>
      <c r="P43" s="290"/>
      <c r="Q43" s="291"/>
    </row>
    <row r="44" spans="1:30" ht="14" thickBot="1">
      <c r="N44" s="294">
        <v>1000</v>
      </c>
      <c r="O44" s="295"/>
      <c r="P44" s="296" t="s">
        <v>73</v>
      </c>
      <c r="Q44" s="297"/>
    </row>
    <row r="45" spans="1:30">
      <c r="P45" s="125"/>
    </row>
    <row r="46" spans="1:30">
      <c r="P46" s="121"/>
    </row>
    <row r="47" spans="1:30" ht="13.5" customHeight="1" thickBot="1">
      <c r="B47" s="287"/>
      <c r="C47" s="287"/>
      <c r="D47" s="287"/>
      <c r="E47" s="287"/>
      <c r="F47" s="287"/>
      <c r="G47" s="287"/>
      <c r="H47" s="287"/>
      <c r="I47" s="287"/>
      <c r="P47" s="121"/>
    </row>
    <row r="48" spans="1:30" ht="14" thickBot="1">
      <c r="B48" s="288"/>
      <c r="C48" s="288"/>
      <c r="D48" s="288"/>
      <c r="E48" s="288"/>
      <c r="F48" s="288"/>
      <c r="G48" s="288"/>
      <c r="N48" s="289" t="s">
        <v>74</v>
      </c>
      <c r="O48" s="290"/>
      <c r="P48" s="290"/>
      <c r="Q48" s="291"/>
    </row>
  </sheetData>
  <mergeCells count="72">
    <mergeCell ref="N10:Q10"/>
    <mergeCell ref="N11:O11"/>
    <mergeCell ref="P11:Q11"/>
    <mergeCell ref="N14:Q14"/>
    <mergeCell ref="N15:O15"/>
    <mergeCell ref="P15:Q15"/>
    <mergeCell ref="H18:K18"/>
    <mergeCell ref="N18:Q18"/>
    <mergeCell ref="T18:W18"/>
    <mergeCell ref="J19:K19"/>
    <mergeCell ref="N19:O19"/>
    <mergeCell ref="P19:Q19"/>
    <mergeCell ref="T19:U19"/>
    <mergeCell ref="V19:W19"/>
    <mergeCell ref="C22:F22"/>
    <mergeCell ref="I22:L22"/>
    <mergeCell ref="N22:Q22"/>
    <mergeCell ref="S22:V22"/>
    <mergeCell ref="C23:D23"/>
    <mergeCell ref="E23:F23"/>
    <mergeCell ref="I23:J23"/>
    <mergeCell ref="K23:L23"/>
    <mergeCell ref="N23:O23"/>
    <mergeCell ref="P23:Q23"/>
    <mergeCell ref="S23:T23"/>
    <mergeCell ref="U23:V23"/>
    <mergeCell ref="G26:J26"/>
    <mergeCell ref="U26:X26"/>
    <mergeCell ref="G27:H27"/>
    <mergeCell ref="I27:J27"/>
    <mergeCell ref="U27:V27"/>
    <mergeCell ref="W27:X27"/>
    <mergeCell ref="G30:J30"/>
    <mergeCell ref="U30:X30"/>
    <mergeCell ref="G31:H31"/>
    <mergeCell ref="I31:J31"/>
    <mergeCell ref="U31:V31"/>
    <mergeCell ref="W31:X31"/>
    <mergeCell ref="N29:Q31"/>
    <mergeCell ref="A33:D33"/>
    <mergeCell ref="AA33:AD33"/>
    <mergeCell ref="A34:B34"/>
    <mergeCell ref="C34:D34"/>
    <mergeCell ref="AA34:AB34"/>
    <mergeCell ref="AC34:AD34"/>
    <mergeCell ref="F35:I35"/>
    <mergeCell ref="K35:M35"/>
    <mergeCell ref="R35:T35"/>
    <mergeCell ref="V35:Y35"/>
    <mergeCell ref="F36:G36"/>
    <mergeCell ref="H36:I36"/>
    <mergeCell ref="K36:L36"/>
    <mergeCell ref="M36:N36"/>
    <mergeCell ref="Q36:R36"/>
    <mergeCell ref="S36:T36"/>
    <mergeCell ref="V36:W36"/>
    <mergeCell ref="X36:Y36"/>
    <mergeCell ref="A37:D37"/>
    <mergeCell ref="AA37:AD37"/>
    <mergeCell ref="A38:B38"/>
    <mergeCell ref="C38:D38"/>
    <mergeCell ref="AA38:AB38"/>
    <mergeCell ref="AC38:AD38"/>
    <mergeCell ref="B47:I47"/>
    <mergeCell ref="B48:G48"/>
    <mergeCell ref="N48:Q48"/>
    <mergeCell ref="F39:I39"/>
    <mergeCell ref="F40:G40"/>
    <mergeCell ref="H40:I40"/>
    <mergeCell ref="N43:Q43"/>
    <mergeCell ref="N44:O44"/>
    <mergeCell ref="P44:Q44"/>
  </mergeCells>
  <printOptions horizontalCentered="1" verticalCentered="1"/>
  <pageMargins left="0.23622047244094491" right="0.23622047244094491" top="1.9291338582677167" bottom="0.62992125984251968" header="0" footer="0.31496062992125984"/>
  <pageSetup paperSize="8" scale="10" orientation="landscape" r:id="rId1"/>
  <headerFooter scaleWithDoc="0">
    <oddHeader>&amp;L&amp;G&amp;C&amp;"Neutraface Text Bold,Regular"&amp;20
&amp;"+,Regular"Process Flow Diagram and LCI Data</oddHeader>
    <oddFooter>&amp;C&amp;14 22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107"/>
  <sheetViews>
    <sheetView zoomScale="70" zoomScaleNormal="70" workbookViewId="0">
      <pane xSplit="2" ySplit="11" topLeftCell="M27" activePane="bottomRight" state="frozen"/>
      <selection pane="topRight" activeCell="J20" sqref="J20"/>
      <selection pane="bottomLeft" activeCell="J20" sqref="J20"/>
      <selection pane="bottomRight" activeCell="S45" sqref="S45"/>
    </sheetView>
  </sheetViews>
  <sheetFormatPr baseColWidth="10" defaultColWidth="9.1640625" defaultRowHeight="15"/>
  <cols>
    <col min="1" max="1" width="36.5" customWidth="1"/>
    <col min="2" max="2" width="30.1640625" customWidth="1"/>
    <col min="3" max="12" width="9.5" customWidth="1"/>
    <col min="14" max="14" width="9.5" customWidth="1"/>
    <col min="15" max="16" width="9.5" bestFit="1" customWidth="1"/>
    <col min="17" max="18" width="10.1640625" bestFit="1" customWidth="1"/>
    <col min="19" max="23" width="10.1640625" customWidth="1"/>
    <col min="25" max="35" width="9.5" customWidth="1"/>
    <col min="37" max="47" width="9.5" customWidth="1"/>
    <col min="49" max="59" width="9.5" customWidth="1"/>
  </cols>
  <sheetData>
    <row r="1" spans="1:61" s="76" customFormat="1" ht="19">
      <c r="A1" s="152" t="s">
        <v>75</v>
      </c>
    </row>
    <row r="2" spans="1:61" s="39" customForma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</row>
    <row r="3" spans="1:61" ht="21" customHeight="1">
      <c r="A3" s="151" t="s">
        <v>76</v>
      </c>
      <c r="B3" s="41"/>
      <c r="C3" s="308" t="s">
        <v>44</v>
      </c>
      <c r="D3" s="309"/>
      <c r="E3" s="309"/>
      <c r="F3" s="309"/>
      <c r="G3" s="309"/>
      <c r="H3" s="309"/>
      <c r="I3" s="309"/>
      <c r="J3" s="309"/>
      <c r="K3" s="309"/>
      <c r="L3" s="309"/>
      <c r="M3" s="38"/>
      <c r="N3" s="308" t="s">
        <v>49</v>
      </c>
      <c r="O3" s="309"/>
      <c r="P3" s="309"/>
      <c r="Q3" s="309"/>
      <c r="R3" s="309"/>
      <c r="S3" s="309"/>
      <c r="T3" s="309"/>
      <c r="U3" s="309"/>
      <c r="V3" s="309"/>
      <c r="W3" s="310"/>
      <c r="X3" s="38"/>
      <c r="Y3" s="308" t="s">
        <v>77</v>
      </c>
      <c r="Z3" s="309"/>
      <c r="AA3" s="309"/>
      <c r="AB3" s="309"/>
      <c r="AC3" s="309"/>
      <c r="AD3" s="309"/>
      <c r="AE3" s="309"/>
      <c r="AF3" s="309"/>
      <c r="AG3" s="309"/>
      <c r="AH3" s="309"/>
      <c r="AI3" s="310"/>
      <c r="AJ3" s="38"/>
      <c r="AK3" s="308" t="s">
        <v>78</v>
      </c>
      <c r="AL3" s="309"/>
      <c r="AM3" s="309"/>
      <c r="AN3" s="309"/>
      <c r="AO3" s="309"/>
      <c r="AP3" s="309"/>
      <c r="AQ3" s="309"/>
      <c r="AR3" s="309"/>
      <c r="AS3" s="309"/>
      <c r="AT3" s="309"/>
      <c r="AU3" s="310"/>
      <c r="AV3" s="38"/>
      <c r="AW3" s="308" t="s">
        <v>79</v>
      </c>
      <c r="AX3" s="309"/>
      <c r="AY3" s="309"/>
      <c r="AZ3" s="309"/>
      <c r="BA3" s="309"/>
      <c r="BB3" s="309"/>
      <c r="BC3" s="309"/>
      <c r="BD3" s="309"/>
      <c r="BE3" s="309"/>
      <c r="BF3" s="309"/>
      <c r="BG3" s="310"/>
    </row>
    <row r="4" spans="1:61" s="168" customFormat="1" ht="46.5" customHeight="1">
      <c r="A4" s="163"/>
      <c r="B4" s="164"/>
      <c r="C4" s="165" t="s">
        <v>16</v>
      </c>
      <c r="D4" s="192" t="s">
        <v>36</v>
      </c>
      <c r="E4" s="166" t="s">
        <v>30</v>
      </c>
      <c r="F4" s="166" t="s">
        <v>28</v>
      </c>
      <c r="G4" s="166" t="s">
        <v>24</v>
      </c>
      <c r="H4" s="165" t="s">
        <v>34</v>
      </c>
      <c r="I4" s="165" t="s">
        <v>26</v>
      </c>
      <c r="J4" s="165" t="s">
        <v>18</v>
      </c>
      <c r="K4" s="165" t="s">
        <v>32</v>
      </c>
      <c r="L4" s="165" t="s">
        <v>22</v>
      </c>
      <c r="M4" s="165"/>
      <c r="N4" s="166" t="s">
        <v>16</v>
      </c>
      <c r="O4" s="192" t="s">
        <v>36</v>
      </c>
      <c r="P4" s="166" t="s">
        <v>30</v>
      </c>
      <c r="Q4" s="166" t="s">
        <v>28</v>
      </c>
      <c r="R4" s="166" t="s">
        <v>24</v>
      </c>
      <c r="S4" s="165" t="s">
        <v>34</v>
      </c>
      <c r="T4" s="165" t="s">
        <v>26</v>
      </c>
      <c r="U4" s="165" t="s">
        <v>18</v>
      </c>
      <c r="V4" s="165" t="s">
        <v>32</v>
      </c>
      <c r="W4" s="165" t="s">
        <v>22</v>
      </c>
      <c r="X4" s="164"/>
      <c r="Y4" s="166" t="s">
        <v>16</v>
      </c>
      <c r="Z4" s="166" t="s">
        <v>36</v>
      </c>
      <c r="AA4" s="166" t="s">
        <v>30</v>
      </c>
      <c r="AB4" s="166" t="s">
        <v>28</v>
      </c>
      <c r="AC4" s="167" t="s">
        <v>80</v>
      </c>
      <c r="AD4" s="166" t="s">
        <v>24</v>
      </c>
      <c r="AE4" s="166" t="s">
        <v>26</v>
      </c>
      <c r="AF4" s="165" t="s">
        <v>34</v>
      </c>
      <c r="AG4" s="165" t="s">
        <v>18</v>
      </c>
      <c r="AH4" s="165" t="s">
        <v>32</v>
      </c>
      <c r="AI4" s="165" t="s">
        <v>22</v>
      </c>
      <c r="AJ4" s="164"/>
      <c r="AK4" s="166" t="s">
        <v>16</v>
      </c>
      <c r="AL4" s="166" t="s">
        <v>36</v>
      </c>
      <c r="AM4" s="166" t="s">
        <v>30</v>
      </c>
      <c r="AN4" s="166" t="s">
        <v>28</v>
      </c>
      <c r="AO4" s="167" t="s">
        <v>80</v>
      </c>
      <c r="AP4" s="166" t="s">
        <v>24</v>
      </c>
      <c r="AQ4" s="166" t="s">
        <v>26</v>
      </c>
      <c r="AR4" s="165" t="s">
        <v>34</v>
      </c>
      <c r="AS4" s="165" t="s">
        <v>18</v>
      </c>
      <c r="AT4" s="165" t="s">
        <v>32</v>
      </c>
      <c r="AU4" s="165" t="s">
        <v>22</v>
      </c>
      <c r="AV4" s="164"/>
      <c r="AW4" s="165" t="s">
        <v>16</v>
      </c>
      <c r="AX4" s="165" t="s">
        <v>36</v>
      </c>
      <c r="AY4" s="165" t="s">
        <v>30</v>
      </c>
      <c r="AZ4" s="166" t="s">
        <v>28</v>
      </c>
      <c r="BA4" s="167" t="s">
        <v>80</v>
      </c>
      <c r="BB4" s="165" t="s">
        <v>24</v>
      </c>
      <c r="BC4" s="165" t="s">
        <v>26</v>
      </c>
      <c r="BD4" s="165" t="s">
        <v>81</v>
      </c>
      <c r="BE4" s="165" t="s">
        <v>18</v>
      </c>
      <c r="BF4" s="165" t="s">
        <v>32</v>
      </c>
      <c r="BG4" s="165" t="s">
        <v>22</v>
      </c>
    </row>
    <row r="5" spans="1:61" s="39" customFormat="1" ht="32">
      <c r="A5" s="40"/>
      <c r="B5" s="40"/>
      <c r="C5" s="84" t="s">
        <v>82</v>
      </c>
      <c r="D5" s="84" t="s">
        <v>82</v>
      </c>
      <c r="E5" s="84" t="s">
        <v>82</v>
      </c>
      <c r="F5" s="42"/>
      <c r="G5" s="42"/>
      <c r="H5" s="42"/>
      <c r="I5" s="42"/>
      <c r="J5" s="42"/>
      <c r="K5" s="42"/>
      <c r="L5" s="132"/>
      <c r="M5" s="40"/>
      <c r="N5" s="43" t="s">
        <v>83</v>
      </c>
      <c r="O5" s="43" t="s">
        <v>83</v>
      </c>
      <c r="P5" s="43" t="s">
        <v>83</v>
      </c>
      <c r="Q5" s="43" t="s">
        <v>83</v>
      </c>
      <c r="R5" s="43" t="s">
        <v>83</v>
      </c>
      <c r="S5" s="43" t="s">
        <v>83</v>
      </c>
      <c r="T5" s="43" t="s">
        <v>83</v>
      </c>
      <c r="U5" s="43" t="s">
        <v>84</v>
      </c>
      <c r="V5" s="43" t="s">
        <v>83</v>
      </c>
      <c r="W5" s="43" t="s">
        <v>83</v>
      </c>
      <c r="X5" s="40"/>
      <c r="Y5" s="49" t="s">
        <v>85</v>
      </c>
      <c r="Z5" s="49" t="s">
        <v>85</v>
      </c>
      <c r="AA5" s="49" t="s">
        <v>85</v>
      </c>
      <c r="AB5" s="49" t="s">
        <v>85</v>
      </c>
      <c r="AC5" s="49" t="s">
        <v>85</v>
      </c>
      <c r="AD5" s="49" t="s">
        <v>85</v>
      </c>
      <c r="AE5" s="49" t="s">
        <v>85</v>
      </c>
      <c r="AF5" s="49" t="s">
        <v>85</v>
      </c>
      <c r="AG5" s="49" t="s">
        <v>85</v>
      </c>
      <c r="AH5" s="49" t="s">
        <v>85</v>
      </c>
      <c r="AI5" s="49" t="s">
        <v>85</v>
      </c>
      <c r="AJ5" s="40"/>
      <c r="AK5" s="49" t="s">
        <v>86</v>
      </c>
      <c r="AL5" s="49" t="s">
        <v>86</v>
      </c>
      <c r="AM5" s="49" t="s">
        <v>86</v>
      </c>
      <c r="AN5" s="49" t="s">
        <v>86</v>
      </c>
      <c r="AO5" s="49" t="s">
        <v>86</v>
      </c>
      <c r="AP5" s="49" t="s">
        <v>86</v>
      </c>
      <c r="AQ5" s="49" t="s">
        <v>86</v>
      </c>
      <c r="AR5" s="49" t="s">
        <v>86</v>
      </c>
      <c r="AS5" s="49" t="s">
        <v>86</v>
      </c>
      <c r="AT5" s="49" t="s">
        <v>86</v>
      </c>
      <c r="AU5" s="49" t="s">
        <v>86</v>
      </c>
      <c r="AV5" s="40"/>
      <c r="AW5" s="43" t="s">
        <v>87</v>
      </c>
      <c r="AX5" s="43" t="s">
        <v>87</v>
      </c>
      <c r="AY5" s="43" t="s">
        <v>87</v>
      </c>
      <c r="AZ5" s="43" t="s">
        <v>87</v>
      </c>
      <c r="BA5" s="43" t="s">
        <v>87</v>
      </c>
      <c r="BB5" s="43" t="s">
        <v>87</v>
      </c>
      <c r="BC5" s="43" t="s">
        <v>87</v>
      </c>
      <c r="BD5" s="43" t="s">
        <v>87</v>
      </c>
      <c r="BE5" s="43" t="s">
        <v>87</v>
      </c>
      <c r="BF5" s="43" t="s">
        <v>87</v>
      </c>
      <c r="BG5" s="43" t="s">
        <v>87</v>
      </c>
    </row>
    <row r="6" spans="1:61" s="39" customFormat="1">
      <c r="A6" s="81" t="s">
        <v>88</v>
      </c>
      <c r="B6" s="141" t="s">
        <v>89</v>
      </c>
      <c r="C6" s="42">
        <f>'Global (product)'!F4/1000</f>
        <v>358000</v>
      </c>
      <c r="D6" s="42">
        <f>'South America (product)'!F4/1000</f>
        <v>43020</v>
      </c>
      <c r="E6" s="42">
        <f>'Oceania (product)'!F4/1000</f>
        <v>105000</v>
      </c>
      <c r="F6" s="42"/>
      <c r="G6" s="42"/>
      <c r="H6" s="42"/>
      <c r="I6" s="42"/>
      <c r="J6" s="42"/>
      <c r="K6" s="42"/>
      <c r="L6" s="132"/>
      <c r="M6" s="40"/>
      <c r="N6" s="43">
        <f>'Global (product)'!F5/1000</f>
        <v>123525</v>
      </c>
      <c r="O6" s="43">
        <f>'South America (product)'!F5/1000</f>
        <v>10050</v>
      </c>
      <c r="P6" s="30">
        <f>'Oceania (product)'!F5/1000</f>
        <v>20010</v>
      </c>
      <c r="Q6" s="43">
        <f>'NAM (product)'!F5/1000</f>
        <v>2275</v>
      </c>
      <c r="R6" s="30">
        <f>('Europe (product)'!I4+'Europe (product)'!I5)/1000</f>
        <v>3704</v>
      </c>
      <c r="S6" s="30">
        <f>'Russia and Other Euro (product)'!F5/1000</f>
        <v>4467</v>
      </c>
      <c r="T6" s="30">
        <f>'GCC (product)'!F5/1000</f>
        <v>2894</v>
      </c>
      <c r="U6" s="78">
        <v>367.78</v>
      </c>
      <c r="V6" s="30">
        <f>'Other Asia (product)'!F5/1000</f>
        <v>10689</v>
      </c>
      <c r="W6" s="30">
        <f>'China (product)'!F5/1000</f>
        <v>67717</v>
      </c>
      <c r="X6" s="40"/>
      <c r="Y6" s="61">
        <f>Y11*AK6</f>
        <v>31856.92158972333</v>
      </c>
      <c r="Z6" s="61">
        <f>Z10</f>
        <v>641.07100000000003</v>
      </c>
      <c r="AA6" s="61">
        <f t="shared" ref="AA6:AI6" si="0">AA11*AM6</f>
        <v>973.98217729313353</v>
      </c>
      <c r="AB6" s="61">
        <f t="shared" si="0"/>
        <v>2029.6290893900859</v>
      </c>
      <c r="AC6" s="61">
        <f t="shared" si="0"/>
        <v>1490.8462107283519</v>
      </c>
      <c r="AD6" s="61">
        <f t="shared" si="0"/>
        <v>1828.9474162689421</v>
      </c>
      <c r="AE6" s="61">
        <f>AE10</f>
        <v>3211.643</v>
      </c>
      <c r="AF6" s="61">
        <f t="shared" si="0"/>
        <v>2309.2610893190958</v>
      </c>
      <c r="AG6" s="61">
        <f t="shared" si="0"/>
        <v>915.61930427279628</v>
      </c>
      <c r="AH6" s="61">
        <f t="shared" si="0"/>
        <v>2961.4760829096881</v>
      </c>
      <c r="AI6" s="61">
        <f t="shared" si="0"/>
        <v>17356.892092666076</v>
      </c>
      <c r="AJ6" s="40"/>
      <c r="AK6" s="43">
        <f>('Global (product)'!I4+'Global (product)'!I5)/1000</f>
        <v>63657</v>
      </c>
      <c r="AL6" s="43">
        <f>('South America (product)'!I4+'South America (product)'!I5)/1000</f>
        <v>1095</v>
      </c>
      <c r="AM6" s="43">
        <f>'Oceania (product)'!I4/1000</f>
        <v>1922</v>
      </c>
      <c r="AN6" s="43">
        <f>'NAM (product)'!I4/1000</f>
        <v>3951</v>
      </c>
      <c r="AO6" s="43">
        <f>'Canada (product)'!I4/1000</f>
        <v>2851</v>
      </c>
      <c r="AP6" s="61">
        <f>('Europe (product)'!I4+'Europe (product)'!I5)/1000</f>
        <v>3704</v>
      </c>
      <c r="AQ6" s="43">
        <f>'GCC (product)'!I4/1000</f>
        <v>5654</v>
      </c>
      <c r="AR6" s="43">
        <f>('Russia and Other Euro (product)'!I4+'Russia and Other Euro (product)'!I5)/1000</f>
        <v>4422</v>
      </c>
      <c r="AS6" s="43">
        <f>'Africa (product)'!I4/1000</f>
        <v>1708</v>
      </c>
      <c r="AT6" s="43">
        <f>'Other Asia (product)'!I4/1000</f>
        <v>5458</v>
      </c>
      <c r="AU6" s="43">
        <f>'China (product)'!I4/1000</f>
        <v>35795</v>
      </c>
      <c r="AV6" s="40"/>
      <c r="AW6" s="43">
        <f>AK6</f>
        <v>63657</v>
      </c>
      <c r="AX6" s="43">
        <f t="shared" ref="AX6:BG6" si="1">AL6</f>
        <v>1095</v>
      </c>
      <c r="AY6" s="43">
        <f t="shared" si="1"/>
        <v>1922</v>
      </c>
      <c r="AZ6" s="43">
        <f t="shared" si="1"/>
        <v>3951</v>
      </c>
      <c r="BA6" s="43">
        <f t="shared" si="1"/>
        <v>2851</v>
      </c>
      <c r="BB6" s="43">
        <f t="shared" si="1"/>
        <v>3704</v>
      </c>
      <c r="BC6" s="43">
        <f t="shared" si="1"/>
        <v>5654</v>
      </c>
      <c r="BD6" s="43">
        <f t="shared" si="1"/>
        <v>4422</v>
      </c>
      <c r="BE6" s="43">
        <f t="shared" si="1"/>
        <v>1708</v>
      </c>
      <c r="BF6" s="43">
        <f t="shared" si="1"/>
        <v>5458</v>
      </c>
      <c r="BG6" s="43">
        <f t="shared" si="1"/>
        <v>35795</v>
      </c>
    </row>
    <row r="7" spans="1:61" s="149" customFormat="1">
      <c r="A7" s="150" t="s">
        <v>90</v>
      </c>
      <c r="B7" s="140" t="s">
        <v>91</v>
      </c>
      <c r="C7" s="143">
        <f>C8/C6</f>
        <v>0.36953857819553071</v>
      </c>
      <c r="D7" s="143">
        <f>D8/D6</f>
        <v>0.32155134821013481</v>
      </c>
      <c r="E7" s="143">
        <f>E8/E6</f>
        <v>0.97218627619047615</v>
      </c>
      <c r="F7" s="143"/>
      <c r="G7" s="143"/>
      <c r="H7" s="143"/>
      <c r="I7" s="143"/>
      <c r="J7" s="143"/>
      <c r="K7" s="143"/>
      <c r="L7" s="86"/>
      <c r="N7" s="148">
        <f t="shared" ref="N7:T7" si="2">N8/N6</f>
        <v>0.35155582219041737</v>
      </c>
      <c r="O7" s="148">
        <f t="shared" si="2"/>
        <v>0.46804398009950243</v>
      </c>
      <c r="P7" s="148">
        <f t="shared" si="2"/>
        <v>1</v>
      </c>
      <c r="Q7" s="148">
        <f t="shared" si="2"/>
        <v>0.61936000000000002</v>
      </c>
      <c r="R7" s="148">
        <f t="shared" si="2"/>
        <v>0.79004427645788344</v>
      </c>
      <c r="S7" s="148">
        <f t="shared" si="2"/>
        <v>0.80689276919632857</v>
      </c>
      <c r="T7" s="148">
        <f t="shared" si="2"/>
        <v>0</v>
      </c>
      <c r="U7" s="148">
        <v>0</v>
      </c>
      <c r="V7" s="148">
        <f>V8/V6</f>
        <v>0.26147113855365328</v>
      </c>
      <c r="W7" s="148">
        <f>W8/W6</f>
        <v>0</v>
      </c>
      <c r="Y7" s="148">
        <f t="shared" ref="Y7:AI7" si="3">Y8/Y6</f>
        <v>0.53926858411648559</v>
      </c>
      <c r="Z7" s="148">
        <f t="shared" si="3"/>
        <v>0.96727351572602716</v>
      </c>
      <c r="AA7" s="148">
        <f t="shared" si="3"/>
        <v>0.21846292977490611</v>
      </c>
      <c r="AB7" s="148">
        <f t="shared" si="3"/>
        <v>0.8008596292283412</v>
      </c>
      <c r="AC7" s="148">
        <f t="shared" si="3"/>
        <v>0.90695873945268624</v>
      </c>
      <c r="AD7" s="148">
        <f t="shared" si="3"/>
        <v>0.68620726262337217</v>
      </c>
      <c r="AE7" s="148">
        <f t="shared" si="3"/>
        <v>0.84031537751860963</v>
      </c>
      <c r="AF7" s="148">
        <f t="shared" si="3"/>
        <v>0.22358277389597314</v>
      </c>
      <c r="AG7" s="148">
        <f>AG8/AG6</f>
        <v>0.76519247325879702</v>
      </c>
      <c r="AH7" s="148">
        <f t="shared" si="3"/>
        <v>0.22890612013113223</v>
      </c>
      <c r="AI7" s="148">
        <f t="shared" si="3"/>
        <v>0</v>
      </c>
      <c r="AK7" s="148">
        <f t="shared" ref="AK7:AU7" si="4">AK8/AK6</f>
        <v>0.36198854592252228</v>
      </c>
      <c r="AL7" s="148">
        <f t="shared" si="4"/>
        <v>1</v>
      </c>
      <c r="AM7" s="148">
        <f t="shared" si="4"/>
        <v>1.000067117585848</v>
      </c>
      <c r="AN7" s="148">
        <f t="shared" si="4"/>
        <v>0.74329891166793216</v>
      </c>
      <c r="AO7" s="148">
        <f t="shared" si="4"/>
        <v>0.86515959312521928</v>
      </c>
      <c r="AP7" s="148">
        <f t="shared" si="4"/>
        <v>0.8808782397408208</v>
      </c>
      <c r="AQ7" s="148">
        <f t="shared" si="4"/>
        <v>0.62126883622214357</v>
      </c>
      <c r="AR7" s="148">
        <f t="shared" si="4"/>
        <v>0.87566689280868382</v>
      </c>
      <c r="AS7" s="148">
        <f t="shared" si="4"/>
        <v>0.75830035128805617</v>
      </c>
      <c r="AT7" s="148">
        <f t="shared" si="4"/>
        <v>0.70924551117625501</v>
      </c>
      <c r="AU7" s="148">
        <f t="shared" si="4"/>
        <v>0</v>
      </c>
      <c r="AW7" s="148">
        <f t="shared" ref="AW7:BG7" si="5">AW8/AW6</f>
        <v>0.32470951835619022</v>
      </c>
      <c r="AX7" s="148">
        <f t="shared" si="5"/>
        <v>0.97583652968036527</v>
      </c>
      <c r="AY7" s="148">
        <f t="shared" si="5"/>
        <v>1</v>
      </c>
      <c r="AZ7" s="148">
        <f t="shared" si="5"/>
        <v>0.80715515059478615</v>
      </c>
      <c r="BA7" s="148">
        <f t="shared" si="5"/>
        <v>0.88933917923535599</v>
      </c>
      <c r="BB7" s="148">
        <f t="shared" si="5"/>
        <v>0.95511123110151186</v>
      </c>
      <c r="BC7" s="148">
        <f t="shared" si="5"/>
        <v>0.82882348779625037</v>
      </c>
      <c r="BD7" s="148">
        <f t="shared" si="5"/>
        <v>0.89623401402080516</v>
      </c>
      <c r="BE7" s="148">
        <f t="shared" si="5"/>
        <v>0.67429039812646374</v>
      </c>
      <c r="BF7" s="148">
        <f t="shared" si="5"/>
        <v>0.21100916086478566</v>
      </c>
      <c r="BG7" s="148">
        <f t="shared" si="5"/>
        <v>0</v>
      </c>
    </row>
    <row r="8" spans="1:61" s="39" customFormat="1">
      <c r="A8" s="81" t="s">
        <v>92</v>
      </c>
      <c r="B8" s="141" t="s">
        <v>89</v>
      </c>
      <c r="C8" s="142">
        <v>132294.810994</v>
      </c>
      <c r="D8" s="142">
        <v>13833.138999999999</v>
      </c>
      <c r="E8" s="142">
        <v>102079.55899999999</v>
      </c>
      <c r="F8" s="142"/>
      <c r="G8" s="142"/>
      <c r="H8" s="142"/>
      <c r="I8" s="142"/>
      <c r="J8" s="142"/>
      <c r="K8" s="142"/>
      <c r="L8" s="132"/>
      <c r="M8" s="40"/>
      <c r="N8" s="79">
        <v>43425.932936071302</v>
      </c>
      <c r="O8" s="80">
        <v>4703.8419999999996</v>
      </c>
      <c r="P8" s="78">
        <v>20010</v>
      </c>
      <c r="Q8" s="61">
        <v>1409.0440000000001</v>
      </c>
      <c r="R8" s="78">
        <f>2926.324</f>
        <v>2926.3240000000001</v>
      </c>
      <c r="S8" s="78">
        <v>3604.39</v>
      </c>
      <c r="T8" s="30">
        <v>0</v>
      </c>
      <c r="U8" s="30">
        <v>0</v>
      </c>
      <c r="V8" s="78">
        <v>2794.8649999999998</v>
      </c>
      <c r="W8" s="30">
        <v>0</v>
      </c>
      <c r="X8" s="40"/>
      <c r="Y8" s="79">
        <v>17179.437000000002</v>
      </c>
      <c r="Z8" s="80">
        <v>620.09100000000001</v>
      </c>
      <c r="AA8" s="61">
        <v>212.779</v>
      </c>
      <c r="AB8" s="80">
        <v>1625.4480000000001</v>
      </c>
      <c r="AC8" s="61">
        <v>1352.136</v>
      </c>
      <c r="AD8" s="61">
        <v>1255.037</v>
      </c>
      <c r="AE8" s="61">
        <v>2698.7930000000001</v>
      </c>
      <c r="AF8" s="61">
        <v>516.31100000000004</v>
      </c>
      <c r="AG8" s="61">
        <v>700.625</v>
      </c>
      <c r="AH8" s="61">
        <v>677.9</v>
      </c>
      <c r="AI8" s="43">
        <v>0</v>
      </c>
      <c r="AJ8" s="40"/>
      <c r="AK8" s="61">
        <v>23043.10486779</v>
      </c>
      <c r="AL8" s="61">
        <f>AL6</f>
        <v>1095</v>
      </c>
      <c r="AM8" s="80">
        <v>1922.1289999999999</v>
      </c>
      <c r="AN8" s="61">
        <v>2936.7739999999999</v>
      </c>
      <c r="AO8" s="61">
        <v>2466.5700000000002</v>
      </c>
      <c r="AP8" s="61">
        <v>3262.7730000000001</v>
      </c>
      <c r="AQ8" s="61">
        <v>3512.654</v>
      </c>
      <c r="AR8" s="61">
        <v>3872.1990000000001</v>
      </c>
      <c r="AS8" s="61">
        <v>1295.1769999999999</v>
      </c>
      <c r="AT8" s="61">
        <v>3871.0619999999999</v>
      </c>
      <c r="AU8" s="43">
        <v>0</v>
      </c>
      <c r="AV8" s="40"/>
      <c r="AW8" s="61">
        <v>20670.033810000001</v>
      </c>
      <c r="AX8" s="80">
        <v>1068.5409999999999</v>
      </c>
      <c r="AY8" s="61">
        <f>AY6</f>
        <v>1922</v>
      </c>
      <c r="AZ8" s="61">
        <v>3189.07</v>
      </c>
      <c r="BA8" s="61">
        <v>2535.5059999999999</v>
      </c>
      <c r="BB8" s="61">
        <v>3537.732</v>
      </c>
      <c r="BC8" s="61">
        <v>4686.1679999999997</v>
      </c>
      <c r="BD8" s="61">
        <v>3963.1468100000002</v>
      </c>
      <c r="BE8" s="61">
        <v>1151.6880000000001</v>
      </c>
      <c r="BF8" s="61">
        <v>1151.6880000000001</v>
      </c>
      <c r="BG8" s="61">
        <v>0</v>
      </c>
    </row>
    <row r="9" spans="1:61" s="144" customFormat="1">
      <c r="A9" s="150" t="s">
        <v>93</v>
      </c>
      <c r="B9" s="140" t="s">
        <v>91</v>
      </c>
      <c r="C9" s="143">
        <f>C10/C6</f>
        <v>0.36801843839106146</v>
      </c>
      <c r="D9" s="143">
        <f>D10/D6</f>
        <v>0.32155134821013481</v>
      </c>
      <c r="E9" s="143">
        <f>E10/E6</f>
        <v>0.97218627619047615</v>
      </c>
      <c r="F9" s="143"/>
      <c r="G9" s="143"/>
      <c r="H9" s="143"/>
      <c r="I9" s="143"/>
      <c r="J9" s="143"/>
      <c r="K9" s="143"/>
      <c r="L9" s="87"/>
      <c r="M9" s="147"/>
      <c r="N9" s="148">
        <f t="shared" ref="N9:U9" si="6">N10/N6</f>
        <v>0.89429606962153418</v>
      </c>
      <c r="O9" s="148">
        <f t="shared" si="6"/>
        <v>0.88592527363184093</v>
      </c>
      <c r="P9" s="148">
        <f t="shared" si="6"/>
        <v>1</v>
      </c>
      <c r="Q9" s="148">
        <f t="shared" si="6"/>
        <v>0.61183868131868135</v>
      </c>
      <c r="R9" s="148">
        <f t="shared" si="6"/>
        <v>1</v>
      </c>
      <c r="S9" s="148">
        <f t="shared" si="6"/>
        <v>0.80522789344078805</v>
      </c>
      <c r="T9" s="148">
        <f t="shared" si="6"/>
        <v>0.61305217691776093</v>
      </c>
      <c r="U9" s="148">
        <f t="shared" si="6"/>
        <v>0</v>
      </c>
      <c r="V9" s="146">
        <f>V10/V6</f>
        <v>0.24669323603704743</v>
      </c>
      <c r="W9" s="148">
        <f>W10/W6</f>
        <v>1</v>
      </c>
      <c r="X9" s="147"/>
      <c r="Y9" s="148">
        <f>Y10/Y6</f>
        <v>0.3739666736613726</v>
      </c>
      <c r="Z9" s="148">
        <f t="shared" ref="Z9:AI9" si="7">Z10/Z6</f>
        <v>1</v>
      </c>
      <c r="AA9" s="148">
        <f t="shared" si="7"/>
        <v>0.84663230521498911</v>
      </c>
      <c r="AB9" s="148">
        <f t="shared" si="7"/>
        <v>0.77365662928681422</v>
      </c>
      <c r="AC9" s="148">
        <f t="shared" si="7"/>
        <v>0.92734581880485567</v>
      </c>
      <c r="AD9" s="148">
        <f t="shared" si="7"/>
        <v>0.50005920993931574</v>
      </c>
      <c r="AE9" s="148">
        <f t="shared" si="7"/>
        <v>1</v>
      </c>
      <c r="AF9" s="148">
        <f t="shared" si="7"/>
        <v>0.81984060128871483</v>
      </c>
      <c r="AG9" s="148">
        <f t="shared" si="7"/>
        <v>0.49659175803542432</v>
      </c>
      <c r="AH9" s="148">
        <f t="shared" si="7"/>
        <v>0.37074518559719283</v>
      </c>
      <c r="AI9" s="148">
        <f t="shared" si="7"/>
        <v>0</v>
      </c>
      <c r="AJ9" s="147"/>
      <c r="AK9" s="148">
        <f>AK10/AK6</f>
        <v>0.98280124730980101</v>
      </c>
      <c r="AL9" s="148">
        <f t="shared" ref="AL9:AU9" si="8">AL10/AL6</f>
        <v>1</v>
      </c>
      <c r="AM9" s="148">
        <f t="shared" si="8"/>
        <v>1</v>
      </c>
      <c r="AN9" s="148">
        <f t="shared" si="8"/>
        <v>0.89610301189572261</v>
      </c>
      <c r="AO9" s="148">
        <f t="shared" si="8"/>
        <v>1</v>
      </c>
      <c r="AP9" s="148">
        <f t="shared" si="8"/>
        <v>0.89830885529157667</v>
      </c>
      <c r="AQ9" s="148">
        <f t="shared" si="8"/>
        <v>1</v>
      </c>
      <c r="AR9" s="148">
        <f t="shared" si="8"/>
        <v>0.9396856625961103</v>
      </c>
      <c r="AS9" s="148">
        <f t="shared" si="8"/>
        <v>0.93163992974238874</v>
      </c>
      <c r="AT9" s="148">
        <f t="shared" si="8"/>
        <v>0.4820097105166728</v>
      </c>
      <c r="AU9" s="148">
        <f t="shared" si="8"/>
        <v>1</v>
      </c>
      <c r="AV9" s="145"/>
      <c r="AW9" s="148">
        <f t="shared" ref="AW9:BG9" si="9">AW10/AW6</f>
        <v>0.34944262217823652</v>
      </c>
      <c r="AX9" s="146">
        <f t="shared" si="9"/>
        <v>0.9760109589041096</v>
      </c>
      <c r="AY9" s="148">
        <f t="shared" si="9"/>
        <v>1</v>
      </c>
      <c r="AZ9" s="148">
        <f>AZ10/AZ6</f>
        <v>0.8395317641103518</v>
      </c>
      <c r="BA9" s="148">
        <f t="shared" si="9"/>
        <v>0.89839179235356015</v>
      </c>
      <c r="BB9" s="148">
        <f t="shared" si="9"/>
        <v>0.90784341252699785</v>
      </c>
      <c r="BC9" s="148">
        <f t="shared" si="9"/>
        <v>1</v>
      </c>
      <c r="BD9" s="148">
        <f t="shared" si="9"/>
        <v>0.97468385345997277</v>
      </c>
      <c r="BE9" s="148">
        <f t="shared" si="9"/>
        <v>0.66506674473067917</v>
      </c>
      <c r="BF9" s="148">
        <f t="shared" si="9"/>
        <v>0.26561561011359475</v>
      </c>
      <c r="BG9" s="148">
        <f t="shared" si="9"/>
        <v>0</v>
      </c>
    </row>
    <row r="10" spans="1:61">
      <c r="A10" s="81" t="s">
        <v>94</v>
      </c>
      <c r="B10" s="141" t="s">
        <v>89</v>
      </c>
      <c r="C10" s="256">
        <v>131750.60094400001</v>
      </c>
      <c r="D10" s="256">
        <v>13833.138999999999</v>
      </c>
      <c r="E10" s="256">
        <v>102079.55899999999</v>
      </c>
      <c r="F10" s="256"/>
      <c r="G10" s="256"/>
      <c r="H10" s="256"/>
      <c r="I10" s="256"/>
      <c r="J10" s="256"/>
      <c r="K10" s="256"/>
      <c r="L10" s="42"/>
      <c r="N10" s="61">
        <v>110467.92200000001</v>
      </c>
      <c r="O10" s="61">
        <v>8903.5490000000009</v>
      </c>
      <c r="P10" s="78">
        <v>20010</v>
      </c>
      <c r="Q10" s="61">
        <v>1391.933</v>
      </c>
      <c r="R10" s="78">
        <v>3704</v>
      </c>
      <c r="S10" s="78">
        <v>3596.953</v>
      </c>
      <c r="T10" s="78">
        <v>1774.173</v>
      </c>
      <c r="U10" s="78">
        <v>0</v>
      </c>
      <c r="V10" s="78">
        <v>2636.904</v>
      </c>
      <c r="W10" s="30">
        <f>W6</f>
        <v>67717</v>
      </c>
      <c r="X10" s="257"/>
      <c r="Y10" s="258">
        <v>11913.427</v>
      </c>
      <c r="Z10" s="80">
        <v>641.07100000000003</v>
      </c>
      <c r="AA10" s="61">
        <v>824.6047759999999</v>
      </c>
      <c r="AB10" s="61">
        <v>1570.2360000000001</v>
      </c>
      <c r="AC10" s="61">
        <v>1382.53</v>
      </c>
      <c r="AD10" s="78">
        <v>914.58199999999999</v>
      </c>
      <c r="AE10" s="78">
        <v>3211.643</v>
      </c>
      <c r="AF10" s="78">
        <v>1893.2260000000001</v>
      </c>
      <c r="AG10" s="78">
        <v>454.68900000000002</v>
      </c>
      <c r="AH10" s="78">
        <v>1097.953</v>
      </c>
      <c r="AI10" s="78">
        <v>0</v>
      </c>
      <c r="AJ10" s="257"/>
      <c r="AK10" s="61">
        <f>SUM(AL10:AU10)</f>
        <v>62562.179000000004</v>
      </c>
      <c r="AL10" s="43">
        <f>AL6</f>
        <v>1095</v>
      </c>
      <c r="AM10" s="43">
        <f>AM6</f>
        <v>1922</v>
      </c>
      <c r="AN10" s="61">
        <v>3540.5030000000002</v>
      </c>
      <c r="AO10" s="43">
        <f>AO6</f>
        <v>2851</v>
      </c>
      <c r="AP10" s="61">
        <v>3327.3359999999998</v>
      </c>
      <c r="AQ10" s="61">
        <f>AQ6</f>
        <v>5654</v>
      </c>
      <c r="AR10" s="61">
        <v>4155.29</v>
      </c>
      <c r="AS10" s="61">
        <v>1591.241</v>
      </c>
      <c r="AT10" s="61">
        <v>2630.8090000000002</v>
      </c>
      <c r="AU10" s="61">
        <f>AU6</f>
        <v>35795</v>
      </c>
      <c r="AW10" s="80">
        <v>22244.469000000001</v>
      </c>
      <c r="AX10" s="61">
        <v>1068.732</v>
      </c>
      <c r="AY10" s="61">
        <f>AY6</f>
        <v>1922</v>
      </c>
      <c r="AZ10" s="61">
        <v>3316.99</v>
      </c>
      <c r="BA10" s="61">
        <v>2561.3150000000001</v>
      </c>
      <c r="BB10" s="61">
        <v>3362.652</v>
      </c>
      <c r="BC10" s="61">
        <f>BC6</f>
        <v>5654</v>
      </c>
      <c r="BD10" s="61">
        <v>4310.0519999999997</v>
      </c>
      <c r="BE10" s="61">
        <v>1135.934</v>
      </c>
      <c r="BF10" s="61">
        <v>1449.73</v>
      </c>
      <c r="BG10" s="43">
        <v>0</v>
      </c>
    </row>
    <row r="11" spans="1:61">
      <c r="A11" s="193" t="s">
        <v>95</v>
      </c>
      <c r="B11" s="194" t="s">
        <v>96</v>
      </c>
      <c r="C11" s="57">
        <f>'Global (product)'!C9</f>
        <v>5.1302930894250496</v>
      </c>
      <c r="D11" s="57">
        <f>'South America (product)'!C9</f>
        <v>4.8715542821203153</v>
      </c>
      <c r="E11" s="57">
        <f>'Oceania (product)'!C9</f>
        <v>5.3360152108612526</v>
      </c>
      <c r="F11" s="57"/>
      <c r="G11" s="57"/>
      <c r="H11" s="57"/>
      <c r="I11" s="57"/>
      <c r="J11" s="57"/>
      <c r="K11" s="57"/>
      <c r="L11" s="57"/>
      <c r="M11" s="133"/>
      <c r="N11" s="58">
        <v>1.9105311074796041</v>
      </c>
      <c r="O11" s="58">
        <f>'South America (product)'!I25/1000</f>
        <v>1.9387863162491297</v>
      </c>
      <c r="P11" s="58">
        <f>'Oceania (product)'!I25/1000</f>
        <v>1.9255144450238035</v>
      </c>
      <c r="Q11" s="58">
        <f>'NAM (product)'!I25/1000</f>
        <v>1.9663483354298821</v>
      </c>
      <c r="R11" s="59">
        <f>'Europe (product)'!I25/1000</f>
        <v>1.8829933993409447</v>
      </c>
      <c r="S11" s="58">
        <f>'Russia and Other Euro (product)'!I25/1000</f>
        <v>1.9221099315127188</v>
      </c>
      <c r="T11" s="58">
        <f>N11</f>
        <v>1.9105311074796041</v>
      </c>
      <c r="U11" s="58">
        <f>N11</f>
        <v>1.9105311074796041</v>
      </c>
      <c r="V11" s="58">
        <f>'Other Asia (product)'!I25/1000</f>
        <v>1.6879004204171775</v>
      </c>
      <c r="W11" s="58">
        <f>N11</f>
        <v>1.9105311074796041</v>
      </c>
      <c r="X11" s="54"/>
      <c r="Y11" s="51">
        <f>('Global (product)'!$C$4*'Global (product)'!$L$4)+('Global (product)'!$C$5*'Global (product)'!$L$5)</f>
        <v>0.50044648019421789</v>
      </c>
      <c r="Z11" s="51">
        <f>('South America (product)'!$C$4*'South America (product)'!$L$4)+('South America (product)'!$C$5*'South America (product)'!$L$5)</f>
        <v>0.58183683070601322</v>
      </c>
      <c r="AA11" s="51">
        <f>('Oceania (product)'!$C$4*'Oceania (product)'!$L$4)+('Oceania (product)'!$C$5*'Oceania (product)'!$L$5)</f>
        <v>0.50675451472067301</v>
      </c>
      <c r="AB11" s="51">
        <f>('NAM (product)'!$C$4*'NAM (product)'!$L$4)+('NAM (product)'!$C$5*'NAM (product)'!$L$5)</f>
        <v>0.51370009855481802</v>
      </c>
      <c r="AC11" s="51">
        <f>('Canada (product)'!$C$4*'Canada (product)'!$L$4)+('Canada (product)'!$C$5*'Canada (product)'!$L$5)</f>
        <v>0.52292045272828902</v>
      </c>
      <c r="AD11" s="51">
        <f>('Europe (product)'!$C$4*'Europe (product)'!$L$4)+('Europe (product)'!$C$5*'Europe (product)'!$L$5)</f>
        <v>0.49377630028859126</v>
      </c>
      <c r="AE11" s="51">
        <f>('GCC (product)'!$C$4*'GCC (product)'!$L$4)</f>
        <v>0.56324034389965905</v>
      </c>
      <c r="AF11" s="51">
        <f>('Russia and Other Euro (product)'!$C$4*'Russia and Other Euro (product)'!$L$4)+('Russia and Other Euro (product)'!$C$5*'Russia and Other Euro (product)'!$L$5)</f>
        <v>0.52222096094959203</v>
      </c>
      <c r="AG11" s="51">
        <f>('Africa (product)'!$C$4*'Africa (product)'!$L$4)+('Africa (product)'!$C$5*'Africa (product)'!$L$5)</f>
        <v>0.53607687603793697</v>
      </c>
      <c r="AH11" s="51">
        <f>('Other Asia (product)'!$C$4*'Other Asia (product)'!$L$4)+('Other Asia (product)'!$C$5*'Other Asia (product)'!$L$5)</f>
        <v>0.54259363922859805</v>
      </c>
      <c r="AI11" s="159">
        <f>'China (product)'!I26/1000</f>
        <v>0.48489711112351103</v>
      </c>
      <c r="AJ11" s="54"/>
      <c r="AK11" s="61">
        <v>1</v>
      </c>
      <c r="AL11" s="61">
        <v>1</v>
      </c>
      <c r="AM11" s="61">
        <v>1</v>
      </c>
      <c r="AN11" s="61">
        <v>1</v>
      </c>
      <c r="AO11" s="61">
        <v>1</v>
      </c>
      <c r="AP11" s="61">
        <v>1</v>
      </c>
      <c r="AQ11" s="61">
        <v>1</v>
      </c>
      <c r="AR11" s="61">
        <v>1</v>
      </c>
      <c r="AS11" s="61">
        <v>1</v>
      </c>
      <c r="AT11" s="61">
        <v>1</v>
      </c>
      <c r="AU11" s="61">
        <v>1</v>
      </c>
      <c r="AV11" s="62"/>
      <c r="AW11" s="61">
        <v>1</v>
      </c>
      <c r="AX11" s="61">
        <v>1</v>
      </c>
      <c r="AY11" s="61">
        <v>1</v>
      </c>
      <c r="AZ11" s="61">
        <v>1</v>
      </c>
      <c r="BA11" s="61">
        <v>1</v>
      </c>
      <c r="BB11" s="61">
        <v>1</v>
      </c>
      <c r="BC11" s="61">
        <v>1</v>
      </c>
      <c r="BD11" s="61">
        <v>1</v>
      </c>
      <c r="BE11" s="61">
        <v>1</v>
      </c>
      <c r="BF11" s="61">
        <v>1</v>
      </c>
      <c r="BG11" s="61">
        <v>1</v>
      </c>
    </row>
    <row r="12" spans="1:61">
      <c r="A12" s="45" t="s">
        <v>97</v>
      </c>
      <c r="B12" s="44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2"/>
      <c r="N12" s="53"/>
      <c r="O12" s="53"/>
      <c r="P12" s="53"/>
      <c r="Q12" s="53"/>
      <c r="R12" s="195"/>
      <c r="S12" s="195"/>
      <c r="T12" s="195"/>
      <c r="U12" s="195"/>
      <c r="V12" s="195"/>
      <c r="W12" s="195"/>
      <c r="X12" s="54"/>
      <c r="Y12" s="53"/>
      <c r="Z12" s="53"/>
      <c r="AA12" s="53"/>
      <c r="AB12" s="53"/>
      <c r="AC12" s="196"/>
      <c r="AD12" s="53"/>
      <c r="AE12" s="53"/>
      <c r="AF12" s="53"/>
      <c r="AG12" s="53"/>
      <c r="AH12" s="53"/>
      <c r="AI12" s="53"/>
      <c r="AJ12" s="54"/>
      <c r="AK12" s="53"/>
      <c r="AL12" s="197"/>
      <c r="AM12" s="53"/>
      <c r="AN12" s="53"/>
      <c r="AO12" s="196"/>
      <c r="AP12" s="53"/>
      <c r="AQ12" s="53"/>
      <c r="AR12" s="53"/>
      <c r="AS12" s="53"/>
      <c r="AT12" s="53"/>
      <c r="AU12" s="53"/>
      <c r="AV12" s="54"/>
      <c r="AW12" s="50"/>
      <c r="AX12" s="50"/>
      <c r="AY12" s="50"/>
      <c r="AZ12" s="50"/>
      <c r="BA12" s="161"/>
      <c r="BB12" s="50"/>
      <c r="BC12" s="50"/>
      <c r="BD12" s="50"/>
      <c r="BE12" s="50"/>
      <c r="BF12" s="50"/>
      <c r="BG12" s="50"/>
    </row>
    <row r="13" spans="1:61" ht="16">
      <c r="A13" s="46" t="s">
        <v>98</v>
      </c>
      <c r="B13" s="48" t="s">
        <v>99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2"/>
      <c r="N13" s="66">
        <f>'Global (product)'!$E$11*N11</f>
        <v>8225.4185082716831</v>
      </c>
      <c r="O13" s="66">
        <f>'South America (product)'!$E$11*O11</f>
        <v>5631.8569343612835</v>
      </c>
      <c r="P13" s="66">
        <f>'Oceania (product)'!$E$11*P11</f>
        <v>2404.4861632234747</v>
      </c>
      <c r="Q13" s="66">
        <f>'NAM (product)'!E11*$Q$11</f>
        <v>13272.851264151705</v>
      </c>
      <c r="R13" s="66">
        <f>'Europe (product)'!$E$11*R11</f>
        <v>10808.467203446367</v>
      </c>
      <c r="S13" s="69">
        <f>'Russia and Other Euro (product)'!E11*$S$11</f>
        <v>16408.14909365627</v>
      </c>
      <c r="T13" s="77" t="s">
        <v>100</v>
      </c>
      <c r="U13" s="77" t="s">
        <v>100</v>
      </c>
      <c r="V13" s="77" t="str">
        <f>'Other Asia (product)'!E11</f>
        <v>nd</v>
      </c>
      <c r="W13" s="77" t="s">
        <v>100</v>
      </c>
      <c r="X13" s="67"/>
      <c r="Y13" s="68"/>
      <c r="Z13" s="68"/>
      <c r="AA13" s="68"/>
      <c r="AB13" s="68"/>
      <c r="AC13" s="162"/>
      <c r="AD13" s="68"/>
      <c r="AE13" s="68"/>
      <c r="AF13" s="68"/>
      <c r="AG13" s="68"/>
      <c r="AH13" s="68"/>
      <c r="AI13" s="68"/>
      <c r="AJ13" s="67"/>
      <c r="AK13" s="66">
        <f>(((IFERROR('Global (product)'!K11*'Global (product)'!$L$5,0))+(IFERROR('Global (product)'!M11*'Global (product)'!$L$4,0))))</f>
        <v>9973.9237159050153</v>
      </c>
      <c r="AL13" s="66">
        <f>'South America (product)'!I11</f>
        <v>8400.5372300862982</v>
      </c>
      <c r="AM13" s="66">
        <f>'Oceania (product)'!I11</f>
        <v>3665.1674986389899</v>
      </c>
      <c r="AN13" s="247">
        <f>'NAM (product)'!I11</f>
        <v>10304.130285402354</v>
      </c>
      <c r="AO13" s="247">
        <f>'Canada (product)'!I11</f>
        <v>8375.4649466616593</v>
      </c>
      <c r="AP13" s="247">
        <f>'Europe (product)'!I11</f>
        <v>13736.877730326531</v>
      </c>
      <c r="AQ13" s="247">
        <f>'GCC (product)'!I11</f>
        <v>20027.5736271282</v>
      </c>
      <c r="AR13" s="69">
        <f>'Russia and Other Euro (product)'!I11</f>
        <v>4621.4271241238121</v>
      </c>
      <c r="AS13" s="69">
        <f>'Africa (product)'!I11</f>
        <v>8454.4284454557164</v>
      </c>
      <c r="AT13" s="69">
        <f>'Other Asia (product)'!I11</f>
        <v>0</v>
      </c>
      <c r="AU13" s="77" t="s">
        <v>100</v>
      </c>
      <c r="AV13" s="67"/>
      <c r="AW13" s="68"/>
      <c r="AX13" s="68"/>
      <c r="AY13" s="68"/>
      <c r="AZ13" s="68"/>
      <c r="BA13" s="162"/>
      <c r="BB13" s="68"/>
      <c r="BC13" s="68"/>
      <c r="BD13" s="68"/>
      <c r="BE13" s="68"/>
      <c r="BF13" s="68"/>
      <c r="BG13" s="68"/>
      <c r="BI13" s="67"/>
    </row>
    <row r="14" spans="1:61" ht="16">
      <c r="A14" s="46" t="s">
        <v>101</v>
      </c>
      <c r="B14" s="48" t="s">
        <v>99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2"/>
      <c r="N14" s="66">
        <f>'Global (product)'!$E$12*N11</f>
        <v>41.869874783384368</v>
      </c>
      <c r="O14" s="66">
        <f>'South America (product)'!$E$12*O11</f>
        <v>20.048912640936226</v>
      </c>
      <c r="P14" s="66">
        <f>'Oceania (product)'!$E$12*P11</f>
        <v>0</v>
      </c>
      <c r="Q14" s="66">
        <f>'NAM (product)'!E12*$Q$11</f>
        <v>0</v>
      </c>
      <c r="R14" s="66">
        <f>'Europe (product)'!$E$12*R11</f>
        <v>0</v>
      </c>
      <c r="S14" s="69">
        <f>'Russia and Other Euro (product)'!E12*$S$11</f>
        <v>0</v>
      </c>
      <c r="T14" s="77" t="s">
        <v>100</v>
      </c>
      <c r="U14" s="77" t="s">
        <v>100</v>
      </c>
      <c r="V14" s="69">
        <f>'Other Asia (product)'!E12*V11</f>
        <v>59.07651471460121</v>
      </c>
      <c r="W14" s="77" t="s">
        <v>100</v>
      </c>
      <c r="X14" s="67"/>
      <c r="Y14" s="68"/>
      <c r="Z14" s="68"/>
      <c r="AA14" s="68"/>
      <c r="AB14" s="68"/>
      <c r="AC14" s="162"/>
      <c r="AD14" s="68"/>
      <c r="AE14" s="68"/>
      <c r="AF14" s="68"/>
      <c r="AG14" s="68"/>
      <c r="AH14" s="68"/>
      <c r="AI14" s="68"/>
      <c r="AJ14" s="67"/>
      <c r="AK14" s="66">
        <f>(((IFERROR('Global (product)'!K12*'Global (product)'!$L$5,0))+(IFERROR('Global (product)'!M12*'Global (product)'!$L$4,0))))</f>
        <v>9.0318302708210343</v>
      </c>
      <c r="AL14" s="66">
        <f>'South America (product)'!I12</f>
        <v>2.0714306040657178</v>
      </c>
      <c r="AM14" s="66">
        <f>'Oceania (product)'!I12</f>
        <v>11.788186341804424</v>
      </c>
      <c r="AN14" s="247">
        <f>'NAM (product)'!I12</f>
        <v>0</v>
      </c>
      <c r="AO14" s="247">
        <f>'Canada (product)'!I12</f>
        <v>0</v>
      </c>
      <c r="AP14" s="247">
        <f>'Europe (product)'!I12</f>
        <v>5.8259948758309443</v>
      </c>
      <c r="AQ14" s="247">
        <f>'GCC (product)'!I12</f>
        <v>1.1591252158840541</v>
      </c>
      <c r="AR14" s="69">
        <f>'Russia and Other Euro (product)'!I12</f>
        <v>0</v>
      </c>
      <c r="AS14" s="69">
        <f>'Africa (product)'!I12</f>
        <v>59.908726760898318</v>
      </c>
      <c r="AT14" s="69">
        <f>'Other Asia (product)'!I12</f>
        <v>46.079081861016903</v>
      </c>
      <c r="AU14" s="77" t="s">
        <v>100</v>
      </c>
      <c r="AV14" s="67"/>
      <c r="AW14" s="68"/>
      <c r="AX14" s="68"/>
      <c r="AY14" s="68"/>
      <c r="AZ14" s="68"/>
      <c r="BA14" s="162"/>
      <c r="BB14" s="68"/>
      <c r="BC14" s="68"/>
      <c r="BD14" s="68"/>
      <c r="BE14" s="68"/>
      <c r="BF14" s="68"/>
      <c r="BG14" s="68"/>
      <c r="BI14" s="67"/>
    </row>
    <row r="15" spans="1:61" ht="16">
      <c r="A15" s="46" t="s">
        <v>102</v>
      </c>
      <c r="B15" s="48" t="s">
        <v>99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2"/>
      <c r="N15" s="66">
        <f>'Global (product)'!$E$13*N11</f>
        <v>1080.9360717679363</v>
      </c>
      <c r="O15" s="66">
        <f>'South America (product)'!$E$13*O11</f>
        <v>1084.9952310172355</v>
      </c>
      <c r="P15" s="66">
        <f>'Oceania (product)'!$E$13*P11</f>
        <v>155.96667004692807</v>
      </c>
      <c r="Q15" s="66">
        <f>'NAM (product)'!E13*$Q$11</f>
        <v>1325.7120477468266</v>
      </c>
      <c r="R15" s="66">
        <f>'Europe (product)'!$E$13*R11</f>
        <v>0</v>
      </c>
      <c r="S15" s="69">
        <f>'Russia and Other Euro (product)'!E13*$S$11</f>
        <v>2362.0326060376833</v>
      </c>
      <c r="T15" s="77" t="s">
        <v>100</v>
      </c>
      <c r="U15" s="77" t="s">
        <v>100</v>
      </c>
      <c r="V15" s="77" t="str">
        <f>'Other Asia (product)'!E13</f>
        <v>nd</v>
      </c>
      <c r="W15" s="77" t="s">
        <v>100</v>
      </c>
      <c r="X15" s="67"/>
      <c r="Y15" s="68"/>
      <c r="Z15" s="68"/>
      <c r="AA15" s="68"/>
      <c r="AB15" s="68"/>
      <c r="AC15" s="162"/>
      <c r="AD15" s="68"/>
      <c r="AE15" s="68"/>
      <c r="AF15" s="68"/>
      <c r="AG15" s="68"/>
      <c r="AH15" s="68"/>
      <c r="AI15" s="68"/>
      <c r="AJ15" s="67"/>
      <c r="AK15" s="66">
        <f>(((IFERROR('Global (product)'!K13*'Global (product)'!$L$5,0))+(IFERROR('Global (product)'!M13*'Global (product)'!$L$4,0))))</f>
        <v>927.01787533190338</v>
      </c>
      <c r="AL15" s="66">
        <f>'South America (product)'!I13</f>
        <v>0</v>
      </c>
      <c r="AM15" s="66">
        <f>'Oceania (product)'!I13</f>
        <v>17.541766603159548</v>
      </c>
      <c r="AN15" s="247">
        <f>'NAM (product)'!I13</f>
        <v>427.80179143817605</v>
      </c>
      <c r="AO15" s="247">
        <f>'Canada (product)'!I13</f>
        <v>189.57593199212599</v>
      </c>
      <c r="AP15" s="247">
        <f>'Europe (product)'!I13</f>
        <v>119.35521508313255</v>
      </c>
      <c r="AQ15" s="247">
        <f>'GCC (product)'!I13</f>
        <v>0</v>
      </c>
      <c r="AR15" s="69">
        <f>'Russia and Other Euro (product)'!I13</f>
        <v>7533.1410922551868</v>
      </c>
      <c r="AS15" s="69">
        <f>'Africa (product)'!I13</f>
        <v>0</v>
      </c>
      <c r="AT15" s="69">
        <f>'Other Asia (product)'!I13</f>
        <v>666.69482628730123</v>
      </c>
      <c r="AU15" s="77" t="s">
        <v>100</v>
      </c>
      <c r="AV15" s="67"/>
      <c r="AW15" s="68"/>
      <c r="AX15" s="68"/>
      <c r="AY15" s="68"/>
      <c r="AZ15" s="68"/>
      <c r="BA15" s="162"/>
      <c r="BB15" s="68"/>
      <c r="BC15" s="68"/>
      <c r="BD15" s="68"/>
      <c r="BE15" s="68"/>
      <c r="BF15" s="68"/>
      <c r="BG15" s="68"/>
      <c r="BI15" s="67"/>
    </row>
    <row r="16" spans="1:61">
      <c r="A16" s="90"/>
      <c r="B16" s="48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2"/>
      <c r="N16" s="50"/>
      <c r="O16" s="50"/>
      <c r="P16" s="50"/>
      <c r="Q16" s="50"/>
      <c r="R16" s="50"/>
      <c r="S16" s="55"/>
      <c r="T16" s="55"/>
      <c r="U16" s="55"/>
      <c r="V16" s="55"/>
      <c r="W16" s="55"/>
      <c r="X16" s="54"/>
      <c r="Y16" s="50"/>
      <c r="Z16" s="50"/>
      <c r="AA16" s="50"/>
      <c r="AB16" s="50"/>
      <c r="AC16" s="161"/>
      <c r="AD16" s="50"/>
      <c r="AE16" s="50"/>
      <c r="AF16" s="50"/>
      <c r="AG16" s="50"/>
      <c r="AH16" s="50"/>
      <c r="AI16" s="50"/>
      <c r="AJ16" s="54"/>
      <c r="AK16" s="50"/>
      <c r="AL16" s="56"/>
      <c r="AM16" s="56"/>
      <c r="AN16" s="56"/>
      <c r="AO16" s="51"/>
      <c r="AP16" s="56"/>
      <c r="AQ16" s="56"/>
      <c r="AR16" s="50"/>
      <c r="AS16" s="50"/>
      <c r="AT16" s="50"/>
      <c r="AU16" s="50"/>
      <c r="AV16" s="54"/>
      <c r="AW16" s="50"/>
      <c r="AX16" s="50"/>
      <c r="AY16" s="50"/>
      <c r="AZ16" s="50"/>
      <c r="BA16" s="161"/>
      <c r="BB16" s="50"/>
      <c r="BC16" s="50"/>
      <c r="BD16" s="50"/>
      <c r="BE16" s="50"/>
      <c r="BF16" s="50"/>
      <c r="BG16" s="50"/>
      <c r="BI16" s="67"/>
    </row>
    <row r="17" spans="1:61">
      <c r="A17" s="45" t="s">
        <v>103</v>
      </c>
      <c r="B17" s="4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2"/>
      <c r="N17" s="50"/>
      <c r="O17" s="50"/>
      <c r="P17" s="50"/>
      <c r="Q17" s="50"/>
      <c r="R17" s="50"/>
      <c r="S17" s="55"/>
      <c r="T17" s="55"/>
      <c r="U17" s="55"/>
      <c r="V17" s="55"/>
      <c r="W17" s="55"/>
      <c r="X17" s="54"/>
      <c r="Y17" s="50"/>
      <c r="Z17" s="50"/>
      <c r="AA17" s="50"/>
      <c r="AB17" s="50"/>
      <c r="AC17" s="161"/>
      <c r="AD17" s="50"/>
      <c r="AE17" s="50"/>
      <c r="AF17" s="50"/>
      <c r="AG17" s="50"/>
      <c r="AH17" s="50"/>
      <c r="AI17" s="50"/>
      <c r="AJ17" s="54"/>
      <c r="AK17" s="50"/>
      <c r="AL17" s="56"/>
      <c r="AM17" s="56"/>
      <c r="AN17" s="56"/>
      <c r="AO17" s="51"/>
      <c r="AP17" s="56"/>
      <c r="AQ17" s="56"/>
      <c r="AR17" s="50"/>
      <c r="AS17" s="50"/>
      <c r="AT17" s="50"/>
      <c r="AU17" s="50"/>
      <c r="AV17" s="54"/>
      <c r="AW17" s="50"/>
      <c r="AX17" s="50"/>
      <c r="AY17" s="50"/>
      <c r="AZ17" s="50"/>
      <c r="BA17" s="161"/>
      <c r="BB17" s="50"/>
      <c r="BC17" s="50"/>
      <c r="BD17" s="50"/>
      <c r="BE17" s="50"/>
      <c r="BF17" s="50"/>
      <c r="BG17" s="50"/>
      <c r="BI17" s="67"/>
    </row>
    <row r="18" spans="1:61" ht="16">
      <c r="A18" s="47" t="s">
        <v>82</v>
      </c>
      <c r="B18" s="9" t="s">
        <v>104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2"/>
      <c r="N18" s="66">
        <f>'Global (product)'!$E$16*N11</f>
        <v>5130.2930894250549</v>
      </c>
      <c r="O18" s="66">
        <f>'South America (product)'!$E$16*O11</f>
        <v>4871.5542821203162</v>
      </c>
      <c r="P18" s="66">
        <f>'Oceania (product)'!E16*$P$11</f>
        <v>5336.0152108612529</v>
      </c>
      <c r="Q18" s="66">
        <f>'NAM (product)'!E16*$Q$11</f>
        <v>4622.7066376451157</v>
      </c>
      <c r="R18" s="66">
        <f>'Europe (product)'!$E16*$R$11</f>
        <v>4420.1945678926513</v>
      </c>
      <c r="S18" s="69">
        <f>'Russia and Other Euro (product)'!E16*$S$11</f>
        <v>4894.1435847061903</v>
      </c>
      <c r="T18" s="77" t="s">
        <v>100</v>
      </c>
      <c r="U18" s="77" t="s">
        <v>100</v>
      </c>
      <c r="V18" s="69">
        <f>'Other Asia (product)'!E16*$V$11</f>
        <v>5323.8536570231217</v>
      </c>
      <c r="W18" s="77" t="s">
        <v>100</v>
      </c>
      <c r="X18" s="54"/>
      <c r="Y18" s="50"/>
      <c r="Z18" s="50"/>
      <c r="AA18" s="50"/>
      <c r="AB18" s="50"/>
      <c r="AC18" s="161"/>
      <c r="AD18" s="50"/>
      <c r="AE18" s="50"/>
      <c r="AF18" s="50"/>
      <c r="AG18" s="50"/>
      <c r="AH18" s="50"/>
      <c r="AI18" s="50"/>
      <c r="AJ18" s="54"/>
      <c r="AK18" s="50"/>
      <c r="AL18" s="56"/>
      <c r="AM18" s="56"/>
      <c r="AN18" s="56"/>
      <c r="AO18" s="51"/>
      <c r="AP18" s="56"/>
      <c r="AQ18" s="56"/>
      <c r="AR18" s="50"/>
      <c r="AS18" s="50"/>
      <c r="AT18" s="50"/>
      <c r="AU18" s="50"/>
      <c r="AV18" s="54"/>
      <c r="AW18" s="50"/>
      <c r="AX18" s="50"/>
      <c r="AY18" s="50"/>
      <c r="AZ18" s="50"/>
      <c r="BA18" s="161"/>
      <c r="BB18" s="50"/>
      <c r="BC18" s="50"/>
      <c r="BD18" s="50"/>
      <c r="BE18" s="50"/>
      <c r="BF18" s="50"/>
      <c r="BG18" s="50"/>
      <c r="BI18" s="67"/>
    </row>
    <row r="19" spans="1:61" ht="16">
      <c r="A19" s="47" t="s">
        <v>105</v>
      </c>
      <c r="B19" s="9" t="s">
        <v>104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2"/>
      <c r="N19" s="66">
        <f>'Global (product)'!$E$17*N11</f>
        <v>154.8140544383381</v>
      </c>
      <c r="O19" s="66">
        <f>'South America (product)'!$E$17*O11</f>
        <v>192.2261912334375</v>
      </c>
      <c r="P19" s="66">
        <f>'Oceania (product)'!E17*$P$11</f>
        <v>145.13927515418527</v>
      </c>
      <c r="Q19" s="66">
        <f>'NAM (product)'!E17*$Q$11</f>
        <v>124.57790470380429</v>
      </c>
      <c r="R19" s="66">
        <f>'Europe (product)'!$E17*$R$11</f>
        <v>141.03397244668531</v>
      </c>
      <c r="S19" s="69">
        <f>'Russia and Other Euro (product)'!E17*$S$11</f>
        <v>100.07628491494685</v>
      </c>
      <c r="T19" s="77" t="s">
        <v>100</v>
      </c>
      <c r="U19" s="77" t="s">
        <v>100</v>
      </c>
      <c r="V19" s="69">
        <f>'Other Asia (product)'!E17*$V$11</f>
        <v>145.04921371204472</v>
      </c>
      <c r="W19" s="77" t="s">
        <v>100</v>
      </c>
      <c r="X19" s="54"/>
      <c r="Y19" s="50"/>
      <c r="Z19" s="50"/>
      <c r="AA19" s="50"/>
      <c r="AB19" s="50"/>
      <c r="AC19" s="161"/>
      <c r="AD19" s="50"/>
      <c r="AE19" s="50"/>
      <c r="AF19" s="50"/>
      <c r="AG19" s="50"/>
      <c r="AH19" s="50"/>
      <c r="AI19" s="50"/>
      <c r="AJ19" s="54"/>
      <c r="AK19" s="50"/>
      <c r="AL19" s="56"/>
      <c r="AM19" s="56"/>
      <c r="AN19" s="56"/>
      <c r="AO19" s="51"/>
      <c r="AP19" s="56"/>
      <c r="AQ19" s="56"/>
      <c r="AR19" s="50"/>
      <c r="AS19" s="50"/>
      <c r="AT19" s="50"/>
      <c r="AU19" s="50"/>
      <c r="AV19" s="54"/>
      <c r="AW19" s="50"/>
      <c r="AX19" s="50"/>
      <c r="AY19" s="50"/>
      <c r="AZ19" s="50"/>
      <c r="BA19" s="161"/>
      <c r="BB19" s="50"/>
      <c r="BC19" s="50"/>
      <c r="BD19" s="50"/>
      <c r="BE19" s="50"/>
      <c r="BF19" s="50"/>
      <c r="BG19" s="50"/>
      <c r="BI19" s="67"/>
    </row>
    <row r="20" spans="1:61" ht="16">
      <c r="A20" s="47" t="s">
        <v>106</v>
      </c>
      <c r="B20" s="9" t="s">
        <v>104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2"/>
      <c r="N20" s="66">
        <f>'Global (product)'!$E$18*N11</f>
        <v>99.916905986994095</v>
      </c>
      <c r="O20" s="66">
        <f>'South America (product)'!$E$18*O11</f>
        <v>27.435707561993095</v>
      </c>
      <c r="P20" s="66">
        <f>'Oceania (product)'!E18*$P$11</f>
        <v>81.606157372161221</v>
      </c>
      <c r="Q20" s="66">
        <f>'NAM (product)'!E18*$Q$11</f>
        <v>43.371337544189373</v>
      </c>
      <c r="R20" s="66">
        <f>'Europe (product)'!$E18*$R$11</f>
        <v>40.92004399934342</v>
      </c>
      <c r="S20" s="69">
        <f>'Russia and Other Euro (product)'!E18*$S$11</f>
        <v>170.10000746521052</v>
      </c>
      <c r="T20" s="77" t="s">
        <v>100</v>
      </c>
      <c r="U20" s="77" t="s">
        <v>100</v>
      </c>
      <c r="V20" s="69">
        <f>'Other Asia (product)'!E18*$V$11</f>
        <v>132.08803327765631</v>
      </c>
      <c r="W20" s="77" t="s">
        <v>100</v>
      </c>
      <c r="X20" s="54"/>
      <c r="Y20" s="50"/>
      <c r="Z20" s="50"/>
      <c r="AA20" s="50"/>
      <c r="AB20" s="50"/>
      <c r="AC20" s="161"/>
      <c r="AD20" s="50"/>
      <c r="AE20" s="50"/>
      <c r="AF20" s="50"/>
      <c r="AG20" s="50"/>
      <c r="AH20" s="50"/>
      <c r="AI20" s="50"/>
      <c r="AJ20" s="54"/>
      <c r="AK20" s="50"/>
      <c r="AL20" s="56"/>
      <c r="AM20" s="56"/>
      <c r="AN20" s="56"/>
      <c r="AO20" s="51"/>
      <c r="AP20" s="56"/>
      <c r="AQ20" s="56"/>
      <c r="AR20" s="50"/>
      <c r="AS20" s="50"/>
      <c r="AT20" s="50"/>
      <c r="AU20" s="50"/>
      <c r="AV20" s="54"/>
      <c r="AW20" s="50"/>
      <c r="AX20" s="50"/>
      <c r="AY20" s="50"/>
      <c r="AZ20" s="50"/>
      <c r="BA20" s="161"/>
      <c r="BB20" s="50"/>
      <c r="BC20" s="50"/>
      <c r="BD20" s="50"/>
      <c r="BE20" s="50"/>
      <c r="BF20" s="50"/>
      <c r="BG20" s="50"/>
      <c r="BI20" s="67"/>
    </row>
    <row r="21" spans="1:61" ht="16">
      <c r="A21" s="47" t="s">
        <v>107</v>
      </c>
      <c r="B21" s="9" t="s">
        <v>108</v>
      </c>
      <c r="C21" s="65">
        <f>'Global (product)'!$C$19*C11</f>
        <v>2.4070002834111466</v>
      </c>
      <c r="D21" s="68">
        <f>'South America (product)'!C19*$D$11</f>
        <v>5.0437021461117224</v>
      </c>
      <c r="E21" s="65">
        <f>'Oceania (product)'!C19*$E$11</f>
        <v>2.4161430446445329</v>
      </c>
      <c r="F21" s="68" t="s">
        <v>100</v>
      </c>
      <c r="G21" s="68" t="s">
        <v>100</v>
      </c>
      <c r="H21" s="68" t="s">
        <v>100</v>
      </c>
      <c r="I21" s="68" t="s">
        <v>100</v>
      </c>
      <c r="J21" s="68" t="s">
        <v>100</v>
      </c>
      <c r="K21" s="68" t="s">
        <v>100</v>
      </c>
      <c r="L21" s="68" t="s">
        <v>100</v>
      </c>
      <c r="M21" s="52"/>
      <c r="N21" s="66">
        <f>'Global (product)'!$E$19*N11</f>
        <v>9.2083667048573261</v>
      </c>
      <c r="O21" s="66">
        <f>'South America (product)'!$E$19*O11</f>
        <v>5.3410883102321103</v>
      </c>
      <c r="P21" s="66">
        <f>'Oceania (product)'!E19*$P$11</f>
        <v>5.3441438793591161</v>
      </c>
      <c r="Q21" s="66">
        <f>'NAM (product)'!E19*$Q$11</f>
        <v>20.3866791735649</v>
      </c>
      <c r="R21" s="66">
        <f>'Europe (product)'!$E19*$R$11</f>
        <v>6.625154319320778</v>
      </c>
      <c r="S21" s="69">
        <f>'Russia and Other Euro (product)'!E19*$S$11</f>
        <v>32.003283141293466</v>
      </c>
      <c r="T21" s="77" t="s">
        <v>100</v>
      </c>
      <c r="U21" s="77" t="s">
        <v>100</v>
      </c>
      <c r="V21" s="69">
        <f>'Other Asia (product)'!E19*$V$11</f>
        <v>5.9066498549787303</v>
      </c>
      <c r="W21" s="77" t="s">
        <v>100</v>
      </c>
      <c r="X21" s="54"/>
      <c r="Y21" s="63">
        <f>(((IFERROR('Global (product)'!G19*'Global (product)'!$L$5,0))+(IFERROR('Global (product)'!I19*'Global (product)'!$L$4,0)))*$Y$11)</f>
        <v>0.26433183482702299</v>
      </c>
      <c r="Z21" s="56">
        <f>'South America (product)'!G19*$Z$11</f>
        <v>3.7760157748423021E-2</v>
      </c>
      <c r="AA21" s="66" t="str">
        <f>'Oceania (product)'!G19</f>
        <v>nd</v>
      </c>
      <c r="AB21" s="66">
        <f>'NAM (product)'!G19*$AB$11</f>
        <v>1.6073699023935379</v>
      </c>
      <c r="AC21" s="66" t="str">
        <f>'Canada (product)'!G19</f>
        <v>nd</v>
      </c>
      <c r="AD21" s="66">
        <f>'Europe (product)'!G19*$AD$11</f>
        <v>1.6074328520745553</v>
      </c>
      <c r="AE21" s="66">
        <f>'GCC (product)'!G19*$AE$11</f>
        <v>0</v>
      </c>
      <c r="AF21" s="66" t="str">
        <f>'Russia and Other Euro (product)'!G19</f>
        <v>nd</v>
      </c>
      <c r="AG21" s="56">
        <f>'Africa (product)'!G19*$AG$11</f>
        <v>7.1021094703129705E-3</v>
      </c>
      <c r="AH21" s="63">
        <f>'Other Asia (product)'!G19*$AH$11</f>
        <v>0.11569322401649536</v>
      </c>
      <c r="AI21" s="77" t="s">
        <v>100</v>
      </c>
      <c r="AJ21" s="54"/>
      <c r="AK21" s="66">
        <f>(((IFERROR('Global (product)'!K19*'Global (product)'!$L$5,0))+(IFERROR('Global (product)'!M19*'Global (product)'!$L$4,0))))</f>
        <v>5.33707679944657</v>
      </c>
      <c r="AL21" s="66">
        <f>'South America (product)'!I19</f>
        <v>1.3494422266019528</v>
      </c>
      <c r="AM21" s="66" t="str">
        <f>'Oceania (product)'!I19</f>
        <v>nd</v>
      </c>
      <c r="AN21" s="66">
        <f>'NAM (product)'!I19</f>
        <v>5.8440483946453314</v>
      </c>
      <c r="AO21" s="247">
        <f>'Canada (product)'!I19</f>
        <v>5.4909537544357701</v>
      </c>
      <c r="AP21" s="66">
        <f>'Europe (product)'!I19</f>
        <v>32.404899238504342</v>
      </c>
      <c r="AQ21" s="66">
        <f>'GCC (product)'!I19</f>
        <v>0</v>
      </c>
      <c r="AR21" s="77" t="str">
        <f>'Russia and Other Euro (product)'!I19</f>
        <v>nd</v>
      </c>
      <c r="AS21" s="77">
        <f>'Africa (product)'!I19</f>
        <v>0.82251407849754898</v>
      </c>
      <c r="AT21" s="77">
        <f>'Other Asia (product)'!I19</f>
        <v>0.80845875114768784</v>
      </c>
      <c r="AU21" s="77" t="s">
        <v>100</v>
      </c>
      <c r="AV21" s="54"/>
      <c r="AW21" s="58">
        <f>'Global (product)'!O19</f>
        <v>1.8437923364262134</v>
      </c>
      <c r="AX21" s="58">
        <f>'South America (product)'!K19</f>
        <v>4.3455935982123002</v>
      </c>
      <c r="AY21" s="58">
        <f>'Oceania (product)'!K19</f>
        <v>1.0123622270642316</v>
      </c>
      <c r="AZ21" s="58">
        <f>'NAM (product)'!K19</f>
        <v>2.4044227706931944</v>
      </c>
      <c r="BA21" s="58" t="str">
        <f>'Canada (product)'!K19</f>
        <v>nd</v>
      </c>
      <c r="BB21" s="58">
        <f>'Europe (product)'!K19</f>
        <v>7.8921943369861296</v>
      </c>
      <c r="BC21" s="61">
        <f>'GCC (product)'!K19</f>
        <v>3.7971231670464803E-2</v>
      </c>
      <c r="BD21" s="58" t="str">
        <f>'Russia and Other Euro (product)'!K19</f>
        <v>nd</v>
      </c>
      <c r="BE21" s="58">
        <f>'Africa (product)'!K19</f>
        <v>0.67609709272221863</v>
      </c>
      <c r="BF21" s="58">
        <f>'Other Asia (product)'!K19</f>
        <v>1.0123622270642316</v>
      </c>
      <c r="BG21" s="61" t="s">
        <v>100</v>
      </c>
      <c r="BI21" s="67"/>
    </row>
    <row r="22" spans="1:61" ht="16">
      <c r="A22" s="47" t="s">
        <v>109</v>
      </c>
      <c r="B22" s="9" t="s">
        <v>108</v>
      </c>
      <c r="C22" s="65">
        <f>'Global (product)'!$C$20*C11</f>
        <v>1.2866106351378912</v>
      </c>
      <c r="D22" s="68">
        <f>'South America (product)'!C20*$D$11</f>
        <v>0</v>
      </c>
      <c r="E22" s="65">
        <f>'Oceania (product)'!C20*$E$11</f>
        <v>1.3972077531184701</v>
      </c>
      <c r="F22" s="68" t="s">
        <v>100</v>
      </c>
      <c r="G22" s="68" t="s">
        <v>100</v>
      </c>
      <c r="H22" s="68" t="s">
        <v>100</v>
      </c>
      <c r="I22" s="68" t="s">
        <v>100</v>
      </c>
      <c r="J22" s="68" t="s">
        <v>100</v>
      </c>
      <c r="K22" s="68" t="s">
        <v>100</v>
      </c>
      <c r="L22" s="68" t="s">
        <v>100</v>
      </c>
      <c r="M22" s="52"/>
      <c r="N22" s="66">
        <f>'Global (product)'!$E$20*N11</f>
        <v>3.9580500018033051</v>
      </c>
      <c r="O22" s="66">
        <f>'South America (product)'!$E$20*O11</f>
        <v>0</v>
      </c>
      <c r="P22" s="66">
        <f>'Oceania (product)'!E20*$P$11</f>
        <v>5.7525462885854823</v>
      </c>
      <c r="Q22" s="66" t="s">
        <v>100</v>
      </c>
      <c r="R22" s="66">
        <f>'Europe (product)'!$E20*$R$11</f>
        <v>0</v>
      </c>
      <c r="S22" s="69">
        <f>'Russia and Other Euro (product)'!E20*$S$11</f>
        <v>0</v>
      </c>
      <c r="T22" s="77" t="s">
        <v>100</v>
      </c>
      <c r="U22" s="77" t="s">
        <v>100</v>
      </c>
      <c r="V22" s="69">
        <f>'Other Asia (product)'!E20*$V$11</f>
        <v>0</v>
      </c>
      <c r="W22" s="77" t="s">
        <v>100</v>
      </c>
      <c r="X22" s="54"/>
      <c r="Y22" s="66">
        <f>(((IFERROR('Global (product)'!G20*'Global (product)'!$L$5,0))+(IFERROR('Global (product)'!I20*'Global (product)'!$L$4,0)))*$Y$11)</f>
        <v>0.92042457136742839</v>
      </c>
      <c r="Z22" s="66">
        <f>'South America (product)'!G20*$Z$11</f>
        <v>0</v>
      </c>
      <c r="AA22" s="66" t="str">
        <f>'Oceania (product)'!G20</f>
        <v>nd</v>
      </c>
      <c r="AB22" s="66">
        <f>'NAM (product)'!G20*$AB$11</f>
        <v>0</v>
      </c>
      <c r="AC22" s="247">
        <f>'Canada (product)'!G20*$AC$11</f>
        <v>0</v>
      </c>
      <c r="AD22" s="66">
        <f>'Europe (product)'!G20*$AD$11</f>
        <v>3.4946995516179542</v>
      </c>
      <c r="AE22" s="66" t="str">
        <f>'GCC (product)'!G20</f>
        <v>nd</v>
      </c>
      <c r="AF22" s="66">
        <f>'Russia and Other Euro (product)'!G20*$AF$11</f>
        <v>0</v>
      </c>
      <c r="AG22" s="56" t="str">
        <f>'Africa (product)'!G20</f>
        <v>nd</v>
      </c>
      <c r="AH22" s="66">
        <f>'Other Asia (product)'!G20*$AH$11</f>
        <v>0</v>
      </c>
      <c r="AI22" s="77" t="s">
        <v>100</v>
      </c>
      <c r="AJ22" s="54"/>
      <c r="AK22" s="66">
        <f>(((IFERROR('Global (product)'!K20*'Global (product)'!$L$5,0))+(IFERROR('Global (product)'!M20*'Global (product)'!$L$4,0))))</f>
        <v>37.863887404080565</v>
      </c>
      <c r="AL22" s="66">
        <f>'South America (product)'!I20</f>
        <v>0</v>
      </c>
      <c r="AM22" s="66">
        <f>'Oceania (product)'!I20</f>
        <v>0</v>
      </c>
      <c r="AN22" s="66">
        <f>'NAM (product)'!I20</f>
        <v>0</v>
      </c>
      <c r="AO22" s="247">
        <f>'Canada (product)'!I20</f>
        <v>0</v>
      </c>
      <c r="AP22" s="66">
        <f>'Europe (product)'!I20</f>
        <v>76.167183353468502</v>
      </c>
      <c r="AQ22" s="66">
        <f>'GCC (product)'!I20</f>
        <v>97.267860552813602</v>
      </c>
      <c r="AR22" s="69">
        <f>'Russia and Other Euro (product)'!I20</f>
        <v>0</v>
      </c>
      <c r="AS22" s="69">
        <f>'Africa (product)'!I20</f>
        <v>0</v>
      </c>
      <c r="AT22" s="69">
        <f>'Other Asia (product)'!I20</f>
        <v>0</v>
      </c>
      <c r="AU22" s="77" t="s">
        <v>100</v>
      </c>
      <c r="AV22" s="54"/>
      <c r="AW22" s="58">
        <f>'Global (product)'!O20</f>
        <v>6.3083808459304462</v>
      </c>
      <c r="AX22" s="61">
        <f>'South America (product)'!K20</f>
        <v>0</v>
      </c>
      <c r="AY22" s="61">
        <f>'Oceania (product)'!K20</f>
        <v>0</v>
      </c>
      <c r="AZ22" s="61">
        <f>'NAM (product)'!K20</f>
        <v>0</v>
      </c>
      <c r="BA22" s="61">
        <f>'Canada (product)'!K20</f>
        <v>0</v>
      </c>
      <c r="BB22" s="61">
        <f>'Europe (product)'!K20</f>
        <v>0</v>
      </c>
      <c r="BC22" s="58">
        <f>'GCC (product)'!K20</f>
        <v>24.820537868037643</v>
      </c>
      <c r="BD22" s="58" t="str">
        <f>'Russia and Other Euro (product)'!K20</f>
        <v>nd</v>
      </c>
      <c r="BE22" s="61">
        <f>'Africa (product)'!K20</f>
        <v>0</v>
      </c>
      <c r="BF22" s="61">
        <f>'Other Asia (product)'!K20</f>
        <v>0</v>
      </c>
      <c r="BG22" s="61" t="s">
        <v>100</v>
      </c>
      <c r="BI22" s="67"/>
    </row>
    <row r="23" spans="1:61" ht="16">
      <c r="A23" s="47" t="s">
        <v>192</v>
      </c>
      <c r="B23" s="9" t="s">
        <v>104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2"/>
      <c r="N23" s="50"/>
      <c r="O23" s="50"/>
      <c r="P23" s="50"/>
      <c r="Q23" s="50"/>
      <c r="R23" s="50"/>
      <c r="S23" s="77"/>
      <c r="T23" s="55"/>
      <c r="U23" s="55"/>
      <c r="V23" s="55"/>
      <c r="W23" s="55"/>
      <c r="X23" s="54">
        <f>490/Y23</f>
        <v>1.3210645806437615</v>
      </c>
      <c r="Y23" s="66">
        <f>(((IFERROR('Global (product)'!G21*'Global (product)'!$L$5,0))+(IFERROR('Global (product)'!I21*'Global (product)'!$L$4,0)))*$Y$11)</f>
        <v>370.91297971308904</v>
      </c>
      <c r="Z23" s="66">
        <f>'South America (product)'!G21*$Z$11</f>
        <v>507.02547177055857</v>
      </c>
      <c r="AA23" s="66">
        <f>'Oceania (product)'!G21*$AA$11</f>
        <v>317.00352947951905</v>
      </c>
      <c r="AB23" s="66">
        <f>'NAM (product)'!G21*$AB$11</f>
        <v>452.69903820072955</v>
      </c>
      <c r="AC23" s="247">
        <f>'Canada (product)'!G21*$AC$11</f>
        <v>464.17672294436591</v>
      </c>
      <c r="AD23" s="66">
        <f>'Europe (product)'!G21*$AD$11</f>
        <v>469.15212195623423</v>
      </c>
      <c r="AE23" s="66">
        <f>'GCC (product)'!G21*$AE$11</f>
        <v>490.80174908259613</v>
      </c>
      <c r="AF23" s="66">
        <f>'Russia and Other Euro (product)'!G21*$AF$11</f>
        <v>383.28487821054409</v>
      </c>
      <c r="AG23" s="66">
        <f>'Africa (product)'!G21*$AG$11</f>
        <v>754.76824376654372</v>
      </c>
      <c r="AH23" s="66">
        <f>'Other Asia (product)'!G21*$AH$11</f>
        <v>538.03200434475718</v>
      </c>
      <c r="AI23" s="77" t="s">
        <v>100</v>
      </c>
      <c r="AJ23" s="54"/>
      <c r="AK23" s="50"/>
      <c r="AL23" s="56"/>
      <c r="AM23" s="56"/>
      <c r="AN23" s="56"/>
      <c r="AO23" s="51"/>
      <c r="AP23" s="56"/>
      <c r="AQ23" s="56"/>
      <c r="AR23" s="77"/>
      <c r="AS23" s="50"/>
      <c r="AT23" s="50"/>
      <c r="AU23" s="50"/>
      <c r="AV23" s="54"/>
      <c r="AW23" s="50"/>
      <c r="AX23" s="50"/>
      <c r="AY23" s="50"/>
      <c r="AZ23" s="50"/>
      <c r="BA23" s="161"/>
      <c r="BB23" s="50"/>
      <c r="BC23" s="50"/>
      <c r="BD23" s="50"/>
      <c r="BE23" s="50"/>
      <c r="BF23" s="50"/>
      <c r="BG23" s="50"/>
      <c r="BI23" s="67"/>
    </row>
    <row r="24" spans="1:61" ht="16">
      <c r="A24" s="47" t="s">
        <v>110</v>
      </c>
      <c r="B24" s="9" t="s">
        <v>104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2"/>
      <c r="N24" s="50"/>
      <c r="O24" s="50"/>
      <c r="P24" s="50"/>
      <c r="Q24" s="50"/>
      <c r="R24" s="50"/>
      <c r="S24" s="55"/>
      <c r="T24" s="55"/>
      <c r="U24" s="55"/>
      <c r="V24" s="55"/>
      <c r="W24" s="55"/>
      <c r="X24" s="54">
        <f>86/Y24</f>
        <v>1.006353197916007</v>
      </c>
      <c r="Y24" s="66">
        <f>(((IFERROR('Global (product)'!G22*'Global (product)'!$L$5,0))+(IFERROR('Global (product)'!I22*'Global (product)'!$L$4,0)))*$Y$11)</f>
        <v>85.457074293689288</v>
      </c>
      <c r="Z24" s="66">
        <f>'South America (product)'!G22*$Z$11</f>
        <v>111.2247260376964</v>
      </c>
      <c r="AA24" s="66">
        <f>'Oceania (product)'!G22*$AA$11</f>
        <v>64.60520885100064</v>
      </c>
      <c r="AB24" s="66">
        <f>'NAM (product)'!G22*$AB$11</f>
        <v>77.088844875701866</v>
      </c>
      <c r="AC24" s="247">
        <f>'Canada (product)'!G22*$AC$11</f>
        <v>75.494358118248101</v>
      </c>
      <c r="AD24" s="66">
        <f>'Europe (product)'!G22*$AD$11</f>
        <v>77.453954777504663</v>
      </c>
      <c r="AE24" s="66">
        <f>'GCC (product)'!G22*$AE$11</f>
        <v>78.291373504651006</v>
      </c>
      <c r="AF24" s="66">
        <f>'Russia and Other Euro (product)'!G22*$AF$11</f>
        <v>134.10375131890436</v>
      </c>
      <c r="AG24" s="66">
        <f>'Africa (product)'!G22*$AG$11</f>
        <v>120.75698761287498</v>
      </c>
      <c r="AH24" s="66">
        <f>'Other Asia (product)'!G22*$AH$11</f>
        <v>86.970402411009303</v>
      </c>
      <c r="AI24" s="77" t="s">
        <v>100</v>
      </c>
      <c r="AJ24" s="54"/>
      <c r="AK24" s="50"/>
      <c r="AL24" s="56"/>
      <c r="AM24" s="56"/>
      <c r="AN24" s="56"/>
      <c r="AO24" s="51"/>
      <c r="AP24" s="56"/>
      <c r="AQ24" s="56"/>
      <c r="AR24" s="77"/>
      <c r="AS24" s="50"/>
      <c r="AT24" s="50"/>
      <c r="AU24" s="50"/>
      <c r="AV24" s="54"/>
      <c r="AW24" s="50"/>
      <c r="AX24" s="50"/>
      <c r="AY24" s="50"/>
      <c r="AZ24" s="50"/>
      <c r="BA24" s="161"/>
      <c r="BB24" s="50"/>
      <c r="BC24" s="50"/>
      <c r="BD24" s="50"/>
      <c r="BE24" s="50"/>
      <c r="BF24" s="50"/>
      <c r="BG24" s="50"/>
      <c r="BI24" s="67"/>
    </row>
    <row r="25" spans="1:61" ht="16">
      <c r="A25" s="47" t="s">
        <v>111</v>
      </c>
      <c r="B25" s="9" t="s">
        <v>104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2"/>
      <c r="N25" s="50"/>
      <c r="O25" s="50"/>
      <c r="P25" s="50"/>
      <c r="Q25" s="50"/>
      <c r="R25" s="50"/>
      <c r="S25" s="55"/>
      <c r="T25" s="55"/>
      <c r="U25" s="55"/>
      <c r="V25" s="55"/>
      <c r="W25" s="55"/>
      <c r="X25" s="54"/>
      <c r="Y25" s="66">
        <f>(((IFERROR('Global (product)'!G23*'Global (product)'!$L$5,0))+(IFERROR('Global (product)'!I23*'Global (product)'!$L$4,0)))*$Y$11)</f>
        <v>1.1507986760971642</v>
      </c>
      <c r="Z25" s="63">
        <f>'South America (product)'!G23*$Z$11</f>
        <v>0.43719833767589306</v>
      </c>
      <c r="AA25" s="66">
        <f>'Oceania (product)'!G23*$AA$11</f>
        <v>10.002720953791618</v>
      </c>
      <c r="AB25" s="66">
        <f>'NAM (product)'!G23*$AB$11</f>
        <v>0.51807233141166564</v>
      </c>
      <c r="AC25" s="247">
        <f>'Canada (product)'!G23*$AC$11</f>
        <v>0.27863819540587487</v>
      </c>
      <c r="AD25" s="66">
        <f>'Europe (product)'!G23*$AD$11</f>
        <v>0.74486763207100182</v>
      </c>
      <c r="AE25" s="66">
        <f>'GCC (product)'!G23*$AE$11</f>
        <v>0.4602575180207088</v>
      </c>
      <c r="AF25" s="66" t="str">
        <f>'Russia and Other Euro (product)'!G23</f>
        <v>nd</v>
      </c>
      <c r="AG25" s="63">
        <f>'Africa (product)'!G23*$AG$11</f>
        <v>1.453672774823674</v>
      </c>
      <c r="AH25" s="63">
        <f>'Other Asia (product)'!G23*$AH$11</f>
        <v>0.63736047578844235</v>
      </c>
      <c r="AI25" s="77" t="s">
        <v>100</v>
      </c>
      <c r="AJ25" s="54"/>
      <c r="AK25" s="66">
        <f>(((IFERROR('Global (product)'!K23*'Global (product)'!$L$5,0))+(IFERROR('Global (product)'!M23*'Global (product)'!$L$4,0))))</f>
        <v>5.8585575310605247</v>
      </c>
      <c r="AL25" s="66">
        <f>'South America (product)'!I23</f>
        <v>6.4266504219454417</v>
      </c>
      <c r="AM25" s="66">
        <f>'Oceania (product)'!I23</f>
        <v>2.3879765362669731</v>
      </c>
      <c r="AN25" s="66">
        <f>'NAM (product)'!I23</f>
        <v>8.6675201456243158</v>
      </c>
      <c r="AO25" s="247">
        <f>'Canada (product)'!I23</f>
        <v>9.1311001470364594</v>
      </c>
      <c r="AP25" s="66">
        <f>'Europe (product)'!I23</f>
        <v>5.6308697679428352</v>
      </c>
      <c r="AQ25" s="66">
        <f>'GCC (product)'!I23</f>
        <v>5.2230473611255057</v>
      </c>
      <c r="AR25" s="77" t="str">
        <f>'Russia and Other Euro (product)'!I23</f>
        <v>nd</v>
      </c>
      <c r="AS25" s="69">
        <f>'Africa (product)'!I23</f>
        <v>6.8669213331774381</v>
      </c>
      <c r="AT25" s="69">
        <f>'Other Asia (product)'!I23</f>
        <v>7.0097661986527866</v>
      </c>
      <c r="AU25" s="77" t="s">
        <v>100</v>
      </c>
      <c r="AV25" s="54"/>
      <c r="AW25" s="50"/>
      <c r="AX25" s="50"/>
      <c r="AY25" s="50"/>
      <c r="AZ25" s="50"/>
      <c r="BA25" s="161"/>
      <c r="BB25" s="50"/>
      <c r="BC25" s="50"/>
      <c r="BD25" s="50"/>
      <c r="BE25" s="50"/>
      <c r="BF25" s="50"/>
      <c r="BG25" s="50"/>
      <c r="BI25" s="67"/>
    </row>
    <row r="26" spans="1:61" ht="16">
      <c r="A26" s="47" t="s">
        <v>112</v>
      </c>
      <c r="B26" s="9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2"/>
      <c r="N26" s="50"/>
      <c r="O26" s="50"/>
      <c r="P26" s="50"/>
      <c r="Q26" s="50"/>
      <c r="R26" s="50"/>
      <c r="S26" s="55"/>
      <c r="T26" s="55"/>
      <c r="U26" s="55"/>
      <c r="V26" s="55"/>
      <c r="W26" s="55"/>
      <c r="X26" s="54"/>
      <c r="Y26" s="66">
        <f>(((IFERROR('Global (product)'!G24*'Global (product)'!$L$5,0))+(IFERROR('Global (product)'!I24*'Global (product)'!$L$4,0)))*$Y$11)</f>
        <v>0.8706343214550839</v>
      </c>
      <c r="Z26" s="63">
        <f>'South America (product)'!G24*$Z$11</f>
        <v>0.54472550282118459</v>
      </c>
      <c r="AA26" s="66" t="str">
        <f>'Oceania (product)'!G24</f>
        <v>nd</v>
      </c>
      <c r="AB26" s="66">
        <f>'NAM (product)'!G24*$AB$11</f>
        <v>0.86649056563972304</v>
      </c>
      <c r="AC26" s="247">
        <f>'Canada (product)'!G24*$AC$11</f>
        <v>0.86221344537554656</v>
      </c>
      <c r="AD26" s="66">
        <f>'Europe (product)'!G24*$AD$11</f>
        <v>2.5722689386776167</v>
      </c>
      <c r="AE26" s="66">
        <f>'GCC (product)'!G24*$AE$11</f>
        <v>1.770661320496828</v>
      </c>
      <c r="AF26" s="66" t="str">
        <f>'Russia and Other Euro (product)'!G24</f>
        <v>nd</v>
      </c>
      <c r="AG26" s="66">
        <f>'Africa (product)'!G24*$AG$11</f>
        <v>1.7489629720711619</v>
      </c>
      <c r="AH26" s="63">
        <f>'Other Asia (product)'!G24*$AH$11</f>
        <v>0.25584750401995099</v>
      </c>
      <c r="AI26" s="77" t="s">
        <v>100</v>
      </c>
      <c r="AJ26" s="54"/>
      <c r="AK26" s="66">
        <f>(((IFERROR('Global (product)'!K24*'Global (product)'!$L$5,0))+(IFERROR('Global (product)'!M24*'Global (product)'!$L$4,0))))</f>
        <v>4.4275651222887866</v>
      </c>
      <c r="AL26" s="66">
        <f>'South America (product)'!I24</f>
        <v>5.9857803951599644</v>
      </c>
      <c r="AM26" s="66">
        <f>'Oceania (product)'!I24</f>
        <v>2.4571706276228573</v>
      </c>
      <c r="AN26" s="66">
        <f>'NAM (product)'!I24</f>
        <v>4.8910111800648064</v>
      </c>
      <c r="AO26" s="247">
        <f>'Canada (product)'!I24</f>
        <v>4.9363544215723403</v>
      </c>
      <c r="AP26" s="66">
        <f>'Europe (product)'!I24</f>
        <v>4.522686668919139</v>
      </c>
      <c r="AQ26" s="66">
        <f>'GCC (product)'!I24</f>
        <v>4.6287583184333396</v>
      </c>
      <c r="AR26" s="77" t="str">
        <f>'Russia and Other Euro (product)'!I24</f>
        <v>nd</v>
      </c>
      <c r="AS26" s="69">
        <f>'Africa (product)'!I24</f>
        <v>4.3976217940551834</v>
      </c>
      <c r="AT26" s="69">
        <f>'Other Asia (product)'!I24</f>
        <v>4.1426580362583385</v>
      </c>
      <c r="AU26" s="77" t="s">
        <v>100</v>
      </c>
      <c r="AV26" s="54"/>
      <c r="AW26" s="50"/>
      <c r="AX26" s="50"/>
      <c r="AY26" s="50"/>
      <c r="AZ26" s="50"/>
      <c r="BA26" s="161"/>
      <c r="BB26" s="50"/>
      <c r="BC26" s="50"/>
      <c r="BD26" s="50"/>
      <c r="BE26" s="50"/>
      <c r="BF26" s="50"/>
      <c r="BG26" s="50"/>
      <c r="BI26" s="67"/>
    </row>
    <row r="27" spans="1:61" ht="16">
      <c r="A27" s="47" t="s">
        <v>83</v>
      </c>
      <c r="B27" s="9" t="s">
        <v>104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2"/>
      <c r="N27" s="50"/>
      <c r="O27" s="50"/>
      <c r="P27" s="50"/>
      <c r="Q27" s="50"/>
      <c r="R27" s="50"/>
      <c r="S27" s="55"/>
      <c r="T27" s="55"/>
      <c r="U27" s="55"/>
      <c r="V27" s="55"/>
      <c r="W27" s="55"/>
      <c r="X27" s="54"/>
      <c r="Y27" s="50"/>
      <c r="Z27" s="50"/>
      <c r="AA27" s="50"/>
      <c r="AB27" s="50"/>
      <c r="AC27" s="161"/>
      <c r="AD27" s="50"/>
      <c r="AE27" s="50"/>
      <c r="AF27" s="50"/>
      <c r="AG27" s="50"/>
      <c r="AH27" s="50"/>
      <c r="AI27" s="50"/>
      <c r="AJ27" s="54"/>
      <c r="AK27" s="66">
        <f>(((IFERROR('Global (product)'!K25*'Global (product)'!$L$5,0))+(IFERROR('Global (product)'!M25*'Global (product)'!$L$4,0))))</f>
        <v>1909.2817205815945</v>
      </c>
      <c r="AL27" s="66">
        <f>'South America (product)'!I25</f>
        <v>1938.7863162491296</v>
      </c>
      <c r="AM27" s="66">
        <f>'Oceania (product)'!I25</f>
        <v>1925.5144450238035</v>
      </c>
      <c r="AN27" s="66">
        <f>'NAM (product)'!I25</f>
        <v>1966.3483354298821</v>
      </c>
      <c r="AO27" s="247">
        <f>'Canada (product)'!I25</f>
        <v>1892.18664227352</v>
      </c>
      <c r="AP27" s="66">
        <f>'Europe (product)'!I25</f>
        <v>1882.9933993409447</v>
      </c>
      <c r="AQ27" s="66">
        <f>'GCC (product)'!I25</f>
        <v>1934.37630022906</v>
      </c>
      <c r="AR27" s="69">
        <f>'Russia and Other Euro (product)'!I25</f>
        <v>1922.1099315127187</v>
      </c>
      <c r="AS27" s="69">
        <f>'Africa (product)'!I25</f>
        <v>1912.7510896811789</v>
      </c>
      <c r="AT27" s="69">
        <f>'Other Asia (product)'!I25</f>
        <v>1687.9004204171774</v>
      </c>
      <c r="AU27" s="77" t="s">
        <v>100</v>
      </c>
      <c r="AV27" s="54"/>
      <c r="AW27" s="50"/>
      <c r="AX27" s="50"/>
      <c r="AY27" s="50"/>
      <c r="AZ27" s="50"/>
      <c r="BA27" s="161"/>
      <c r="BB27" s="50"/>
      <c r="BC27" s="50"/>
      <c r="BD27" s="50"/>
      <c r="BE27" s="50"/>
      <c r="BF27" s="50"/>
      <c r="BG27" s="50"/>
      <c r="BI27" s="67"/>
    </row>
    <row r="28" spans="1:61">
      <c r="A28" s="47" t="s">
        <v>193</v>
      </c>
      <c r="B28" s="9" t="s">
        <v>104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2"/>
      <c r="N28" s="50"/>
      <c r="O28" s="50"/>
      <c r="P28" s="50"/>
      <c r="Q28" s="50"/>
      <c r="R28" s="50"/>
      <c r="S28" s="55"/>
      <c r="T28" s="55"/>
      <c r="U28" s="55"/>
      <c r="V28" s="55"/>
      <c r="W28" s="55"/>
      <c r="X28" s="54"/>
      <c r="Y28" s="50"/>
      <c r="Z28" s="50"/>
      <c r="AA28" s="50"/>
      <c r="AB28" s="50"/>
      <c r="AC28" s="161"/>
      <c r="AD28" s="50"/>
      <c r="AE28" s="50"/>
      <c r="AF28" s="50"/>
      <c r="AG28" s="50"/>
      <c r="AH28" s="50"/>
      <c r="AI28" s="50"/>
      <c r="AJ28" s="54"/>
      <c r="AK28" s="66">
        <f>(((IFERROR('Global (product)'!K26*'Global (product)'!$L$5,0))+(IFERROR('Global (product)'!M26*'Global (product)'!$L$4,0))))</f>
        <v>500.44648019421794</v>
      </c>
      <c r="AL28" s="66">
        <f>'South America (product)'!I26</f>
        <v>581.83683070601319</v>
      </c>
      <c r="AM28" s="66">
        <f>'Oceania (product)'!I26</f>
        <v>506.754514720673</v>
      </c>
      <c r="AN28" s="66">
        <f>'NAM (product)'!I26</f>
        <v>513.70009855481806</v>
      </c>
      <c r="AO28" s="247">
        <f>'Canada (product)'!I26</f>
        <v>522.92045272828898</v>
      </c>
      <c r="AP28" s="66">
        <f>'Europe (product)'!I26</f>
        <v>493.77630028859124</v>
      </c>
      <c r="AQ28" s="66">
        <f>'GCC (product)'!I26</f>
        <v>563.24034389965902</v>
      </c>
      <c r="AR28" s="69">
        <f>'Russia and Other Euro (product)'!I26</f>
        <v>522.22096094959204</v>
      </c>
      <c r="AS28" s="69">
        <f>'Africa (product)'!I26</f>
        <v>536.07687603793693</v>
      </c>
      <c r="AT28" s="69">
        <f>'Other Asia (product)'!I26</f>
        <v>542.59363922859802</v>
      </c>
      <c r="AU28" s="69">
        <f>'China (product)'!I26</f>
        <v>484.89711112351102</v>
      </c>
      <c r="AV28" s="54"/>
      <c r="AW28" s="50"/>
      <c r="AX28" s="50"/>
      <c r="AY28" s="50"/>
      <c r="AZ28" s="50"/>
      <c r="BA28" s="161"/>
      <c r="BB28" s="50"/>
      <c r="BC28" s="50"/>
      <c r="BD28" s="50"/>
      <c r="BE28" s="50"/>
      <c r="BF28" s="50"/>
      <c r="BG28" s="50"/>
      <c r="BI28" s="67"/>
    </row>
    <row r="29" spans="1:61" ht="16">
      <c r="A29" s="47" t="s">
        <v>113</v>
      </c>
      <c r="B29" s="9" t="s">
        <v>104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2"/>
      <c r="N29" s="50"/>
      <c r="O29" s="50"/>
      <c r="P29" s="50"/>
      <c r="Q29" s="50"/>
      <c r="R29" s="50"/>
      <c r="S29" s="55"/>
      <c r="T29" s="55"/>
      <c r="U29" s="55"/>
      <c r="V29" s="55"/>
      <c r="W29" s="55"/>
      <c r="X29" s="54"/>
      <c r="Y29" s="50"/>
      <c r="Z29" s="50"/>
      <c r="AA29" s="50"/>
      <c r="AB29" s="50"/>
      <c r="AC29" s="161"/>
      <c r="AD29" s="50"/>
      <c r="AE29" s="50"/>
      <c r="AF29" s="50"/>
      <c r="AG29" s="50"/>
      <c r="AH29" s="50"/>
      <c r="AI29" s="50"/>
      <c r="AJ29" s="54"/>
      <c r="AK29" s="66">
        <f>(((IFERROR('Global (product)'!K27*'Global (product)'!$L$5,0))+(IFERROR('Global (product)'!M27*'Global (product)'!$L$4,0))))</f>
        <v>6.1486314335008503</v>
      </c>
      <c r="AL29" s="66">
        <f>'South America (product)'!I27</f>
        <v>5.9807861619403839</v>
      </c>
      <c r="AM29" s="66">
        <f>'Oceania (product)'!I27</f>
        <v>2.6340577784574473</v>
      </c>
      <c r="AN29" s="66">
        <f>'NAM (product)'!I27</f>
        <v>5.9807861619403839</v>
      </c>
      <c r="AO29" s="247">
        <f>'Canada (product)'!I27</f>
        <v>5.9807861619403804</v>
      </c>
      <c r="AP29" s="66">
        <f>'Europe (product)'!I27</f>
        <v>12.355668414471513</v>
      </c>
      <c r="AQ29" s="66">
        <f>'GCC (product)'!I27</f>
        <v>5.4461746399367401</v>
      </c>
      <c r="AR29" s="69">
        <f>'Russia and Other Euro (product)'!I27</f>
        <v>8.939705282313934</v>
      </c>
      <c r="AS29" s="69">
        <f>'Africa (product)'!I27</f>
        <v>5.9807861619403839</v>
      </c>
      <c r="AT29" s="69">
        <f>'Other Asia (product)'!I27</f>
        <v>5.6940796508395906</v>
      </c>
      <c r="AU29" s="77" t="s">
        <v>100</v>
      </c>
      <c r="AV29" s="54"/>
      <c r="AW29" s="50"/>
      <c r="AX29" s="50"/>
      <c r="AY29" s="50"/>
      <c r="AZ29" s="50"/>
      <c r="BA29" s="161"/>
      <c r="BB29" s="50"/>
      <c r="BC29" s="50"/>
      <c r="BD29" s="50"/>
      <c r="BE29" s="50"/>
      <c r="BF29" s="50"/>
      <c r="BG29" s="50"/>
      <c r="BI29" s="67"/>
    </row>
    <row r="30" spans="1:61" ht="16">
      <c r="A30" s="47" t="s">
        <v>114</v>
      </c>
      <c r="B30" s="9" t="s">
        <v>104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2"/>
      <c r="N30" s="50"/>
      <c r="O30" s="50"/>
      <c r="P30" s="50"/>
      <c r="Q30" s="50"/>
      <c r="R30" s="50"/>
      <c r="S30" s="55"/>
      <c r="T30" s="55"/>
      <c r="U30" s="55"/>
      <c r="V30" s="55"/>
      <c r="W30" s="55"/>
      <c r="X30" s="54"/>
      <c r="Y30" s="50"/>
      <c r="Z30" s="50"/>
      <c r="AA30" s="50"/>
      <c r="AB30" s="50"/>
      <c r="AC30" s="161"/>
      <c r="AD30" s="50"/>
      <c r="AE30" s="50"/>
      <c r="AF30" s="50"/>
      <c r="AG30" s="50"/>
      <c r="AH30" s="50"/>
      <c r="AI30" s="50"/>
      <c r="AJ30" s="54"/>
      <c r="AK30" s="66">
        <f>(((IFERROR('Global (product)'!K28*'Global (product)'!$L$5,0))+(IFERROR('Global (product)'!M28*'Global (product)'!$L$4,0))))</f>
        <v>16.886398228763611</v>
      </c>
      <c r="AL30" s="66">
        <f>'South America (product)'!I28</f>
        <v>20.454727448487731</v>
      </c>
      <c r="AM30" s="66">
        <f>'Oceania (product)'!I28</f>
        <v>14.892774346608403</v>
      </c>
      <c r="AN30" s="66">
        <f>'NAM (product)'!I28</f>
        <v>17.474928536636266</v>
      </c>
      <c r="AO30" s="247">
        <f>'Canada (product)'!I28</f>
        <v>16.3841252896962</v>
      </c>
      <c r="AP30" s="66">
        <f>'Europe (product)'!I28</f>
        <v>17.637574668272396</v>
      </c>
      <c r="AQ30" s="66">
        <f>'GCC (product)'!I28</f>
        <v>15.895372354233499</v>
      </c>
      <c r="AR30" s="69">
        <f>'Russia and Other Euro (product)'!I28</f>
        <v>22.685165342886645</v>
      </c>
      <c r="AS30" s="69">
        <f>'Africa (product)'!I28</f>
        <v>18.177367507018729</v>
      </c>
      <c r="AT30" s="69">
        <f>'Other Asia (product)'!I28</f>
        <v>11.32937735843109</v>
      </c>
      <c r="AU30" s="77" t="s">
        <v>100</v>
      </c>
      <c r="AV30" s="54"/>
      <c r="AW30" s="50"/>
      <c r="AX30" s="50"/>
      <c r="AY30" s="50"/>
      <c r="AZ30" s="50"/>
      <c r="BA30" s="161"/>
      <c r="BB30" s="50"/>
      <c r="BC30" s="50"/>
      <c r="BD30" s="50"/>
      <c r="BE30" s="50"/>
      <c r="BF30" s="50"/>
      <c r="BG30" s="50"/>
      <c r="BI30" s="67"/>
    </row>
    <row r="31" spans="1:61" ht="16">
      <c r="A31" s="47" t="s">
        <v>115</v>
      </c>
      <c r="B31" s="9" t="s">
        <v>104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2"/>
      <c r="N31" s="50"/>
      <c r="O31" s="50"/>
      <c r="P31" s="50"/>
      <c r="Q31" s="50"/>
      <c r="R31" s="50"/>
      <c r="S31" s="55"/>
      <c r="T31" s="55"/>
      <c r="U31" s="55"/>
      <c r="V31" s="55"/>
      <c r="W31" s="55"/>
      <c r="X31" s="54"/>
      <c r="Y31" s="50"/>
      <c r="Z31" s="50"/>
      <c r="AA31" s="50"/>
      <c r="AB31" s="50"/>
      <c r="AC31" s="161"/>
      <c r="AD31" s="50"/>
      <c r="AE31" s="50"/>
      <c r="AF31" s="50"/>
      <c r="AG31" s="50"/>
      <c r="AH31" s="50"/>
      <c r="AI31" s="50"/>
      <c r="AJ31" s="54"/>
      <c r="AK31" s="50"/>
      <c r="AL31" s="56"/>
      <c r="AM31" s="56"/>
      <c r="AN31" s="56"/>
      <c r="AO31" s="51"/>
      <c r="AP31" s="56"/>
      <c r="AQ31" s="56"/>
      <c r="AR31" s="50"/>
      <c r="AS31" s="50"/>
      <c r="AT31" s="50"/>
      <c r="AU31" s="50"/>
      <c r="AV31" s="54"/>
      <c r="AW31" s="66">
        <f>'Global (product)'!O29</f>
        <v>1000</v>
      </c>
      <c r="AX31" s="66">
        <f>'South America (product)'!K29</f>
        <v>1000</v>
      </c>
      <c r="AY31" s="66">
        <f>'Oceania (product)'!K29</f>
        <v>1000</v>
      </c>
      <c r="AZ31" s="66">
        <f>'NAM (product)'!K29</f>
        <v>1000</v>
      </c>
      <c r="BA31" s="61">
        <f>'Canada (product)'!K29</f>
        <v>1000</v>
      </c>
      <c r="BB31" s="66">
        <f>'Europe (product)'!K29</f>
        <v>1000</v>
      </c>
      <c r="BC31" s="66">
        <f>'GCC (product)'!K29</f>
        <v>1000</v>
      </c>
      <c r="BD31" s="66">
        <f>'Russia and Other Euro (product)'!K29</f>
        <v>1000</v>
      </c>
      <c r="BE31" s="66">
        <f>'Africa (product)'!K29</f>
        <v>1000</v>
      </c>
      <c r="BF31" s="66">
        <f>'Other Asia (product)'!K29</f>
        <v>1000</v>
      </c>
      <c r="BG31" s="66" t="s">
        <v>100</v>
      </c>
      <c r="BI31" s="67"/>
    </row>
    <row r="32" spans="1:61" ht="16">
      <c r="A32" s="47" t="s">
        <v>116</v>
      </c>
      <c r="B32" s="9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2"/>
      <c r="N32" s="50"/>
      <c r="O32" s="50"/>
      <c r="P32" s="50"/>
      <c r="Q32" s="50"/>
      <c r="R32" s="50"/>
      <c r="S32" s="55"/>
      <c r="T32" s="55"/>
      <c r="U32" s="55"/>
      <c r="V32" s="55"/>
      <c r="W32" s="55"/>
      <c r="X32" s="54"/>
      <c r="Y32" s="50"/>
      <c r="Z32" s="50"/>
      <c r="AA32" s="50"/>
      <c r="AB32" s="50"/>
      <c r="AC32" s="161"/>
      <c r="AD32" s="50"/>
      <c r="AE32" s="50"/>
      <c r="AF32" s="50"/>
      <c r="AG32" s="50"/>
      <c r="AH32" s="50"/>
      <c r="AI32" s="50"/>
      <c r="AJ32" s="54"/>
      <c r="AK32" s="50"/>
      <c r="AL32" s="56"/>
      <c r="AM32" s="56"/>
      <c r="AN32" s="56"/>
      <c r="AO32" s="51"/>
      <c r="AP32" s="56"/>
      <c r="AQ32" s="56"/>
      <c r="AR32" s="50"/>
      <c r="AS32" s="50"/>
      <c r="AT32" s="50"/>
      <c r="AU32" s="50"/>
      <c r="AV32" s="54"/>
      <c r="AW32" s="66">
        <f>'Global (product)'!O30</f>
        <v>13.772732062767812</v>
      </c>
      <c r="AX32" s="66">
        <f>'South America (product)'!K30</f>
        <v>30.681190619212039</v>
      </c>
      <c r="AY32" s="66">
        <f>'Oceania (product)'!K30</f>
        <v>6.5017777780635386</v>
      </c>
      <c r="AZ32" s="66">
        <f>'NAM (product)'!K30</f>
        <v>10.327534540237876</v>
      </c>
      <c r="BA32" s="61">
        <f>'Canada (product)'!K30</f>
        <v>12.184223404254013</v>
      </c>
      <c r="BB32" s="66">
        <f>'Europe (product)'!K30</f>
        <v>18.958252347047122</v>
      </c>
      <c r="BC32" s="66">
        <f>'GCC (product)'!K30</f>
        <v>20.324886050938073</v>
      </c>
      <c r="BD32" s="66">
        <f>'Russia and Other Euro (product)'!K30</f>
        <v>11.827169329136401</v>
      </c>
      <c r="BE32" s="66">
        <f>'Africa (product)'!K30</f>
        <v>1.7322189408623783E-5</v>
      </c>
      <c r="BF32" s="66">
        <f>'Other Asia (product)'!K30</f>
        <v>2.4153392791479598</v>
      </c>
      <c r="BG32" s="66" t="s">
        <v>100</v>
      </c>
      <c r="BI32" s="67"/>
    </row>
    <row r="33" spans="1:61" ht="16">
      <c r="A33" s="47" t="s">
        <v>117</v>
      </c>
      <c r="B33" s="9" t="s">
        <v>104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2"/>
      <c r="N33" s="50"/>
      <c r="O33" s="50"/>
      <c r="P33" s="50"/>
      <c r="Q33" s="50"/>
      <c r="R33" s="50"/>
      <c r="S33" s="55"/>
      <c r="T33" s="55"/>
      <c r="U33" s="55"/>
      <c r="V33" s="55"/>
      <c r="W33" s="55"/>
      <c r="X33" s="54"/>
      <c r="Y33" s="50"/>
      <c r="Z33" s="50"/>
      <c r="AA33" s="50"/>
      <c r="AB33" s="50"/>
      <c r="AC33" s="161"/>
      <c r="AD33" s="50"/>
      <c r="AE33" s="50"/>
      <c r="AF33" s="50"/>
      <c r="AG33" s="50"/>
      <c r="AH33" s="50"/>
      <c r="AI33" s="50"/>
      <c r="AJ33" s="54"/>
      <c r="AK33" s="50"/>
      <c r="AL33" s="56"/>
      <c r="AM33" s="56"/>
      <c r="AN33" s="56"/>
      <c r="AO33" s="51"/>
      <c r="AP33" s="56"/>
      <c r="AQ33" s="56"/>
      <c r="AR33" s="50"/>
      <c r="AS33" s="50"/>
      <c r="AT33" s="50"/>
      <c r="AU33" s="50"/>
      <c r="AV33" s="54"/>
      <c r="AW33" s="72">
        <f>'Global (product)'!O31</f>
        <v>5.4846856526957503E-3</v>
      </c>
      <c r="AX33" s="56">
        <f>'South America (product)'!K31</f>
        <v>9.4667875229167836E-3</v>
      </c>
      <c r="AY33" s="66">
        <f>'Oceania (product)'!K31</f>
        <v>0</v>
      </c>
      <c r="AZ33" s="56">
        <f>'NAM (product)'!K31</f>
        <v>2.1128400562560771E-2</v>
      </c>
      <c r="BA33" s="259">
        <f>'Canada (product)'!K31</f>
        <v>3.1256748102538598E-3</v>
      </c>
      <c r="BB33" s="72">
        <f>'Europe (product)'!K31</f>
        <v>4.0230226450819898E-3</v>
      </c>
      <c r="BC33" s="107">
        <f>'GCC (product)'!K31</f>
        <v>7.3271477402039501E-5</v>
      </c>
      <c r="BD33" s="72">
        <f>'Russia and Other Euro (product)'!K31</f>
        <v>2.9234952295471906E-3</v>
      </c>
      <c r="BE33" s="66">
        <f>'Africa (product)'!K31</f>
        <v>0</v>
      </c>
      <c r="BF33" s="66">
        <f>'Other Asia (product)'!K31</f>
        <v>1.5896670930183922E-6</v>
      </c>
      <c r="BG33" s="66" t="s">
        <v>100</v>
      </c>
      <c r="BI33" s="67"/>
    </row>
    <row r="34" spans="1:61" ht="16">
      <c r="A34" s="47" t="s">
        <v>118</v>
      </c>
      <c r="B34" s="9" t="s">
        <v>104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2"/>
      <c r="N34" s="50"/>
      <c r="O34" s="50"/>
      <c r="P34" s="50"/>
      <c r="Q34" s="50"/>
      <c r="R34" s="50"/>
      <c r="S34" s="55"/>
      <c r="T34" s="55"/>
      <c r="U34" s="55"/>
      <c r="V34" s="55"/>
      <c r="W34" s="55"/>
      <c r="X34" s="54"/>
      <c r="Y34" s="50"/>
      <c r="Z34" s="50"/>
      <c r="AA34" s="50"/>
      <c r="AB34" s="50"/>
      <c r="AC34" s="161"/>
      <c r="AD34" s="50"/>
      <c r="AE34" s="50"/>
      <c r="AF34" s="50"/>
      <c r="AG34" s="50"/>
      <c r="AH34" s="50"/>
      <c r="AI34" s="50"/>
      <c r="AJ34" s="54"/>
      <c r="AK34" s="50"/>
      <c r="AL34" s="56"/>
      <c r="AM34" s="56"/>
      <c r="AN34" s="56"/>
      <c r="AO34" s="51"/>
      <c r="AP34" s="56"/>
      <c r="AQ34" s="56"/>
      <c r="AR34" s="50"/>
      <c r="AS34" s="50"/>
      <c r="AT34" s="50"/>
      <c r="AU34" s="50"/>
      <c r="AV34" s="54"/>
      <c r="AW34" s="63">
        <f>'Global (product)'!O32</f>
        <v>0.65632040353131615</v>
      </c>
      <c r="AX34" s="63">
        <f>'South America (product)'!K32</f>
        <v>8.3735964416075573E-2</v>
      </c>
      <c r="AY34" s="63">
        <f>'Oceania (product)'!K32</f>
        <v>0.31079257831640206</v>
      </c>
      <c r="AZ34" s="63">
        <f>'NAM (product)'!K32</f>
        <v>0.28890917915815606</v>
      </c>
      <c r="BA34" s="58">
        <f>'Canada (product)'!K32</f>
        <v>0.31385642040772449</v>
      </c>
      <c r="BB34" s="63">
        <f>'Europe (product)'!K32</f>
        <v>0.79185234561007201</v>
      </c>
      <c r="BC34" s="63">
        <f>'GCC (product)'!K32</f>
        <v>1.0342587673135966</v>
      </c>
      <c r="BD34" s="63">
        <f>'Russia and Other Euro (product)'!K32</f>
        <v>0.91593106962428006</v>
      </c>
      <c r="BE34" s="66">
        <f>'Africa (product)'!K32</f>
        <v>0</v>
      </c>
      <c r="BF34" s="56">
        <f>'Other Asia (product)'!K32</f>
        <v>4.7452383576927097E-2</v>
      </c>
      <c r="BG34" s="66" t="s">
        <v>100</v>
      </c>
      <c r="BI34" s="67"/>
    </row>
    <row r="35" spans="1:61" ht="16">
      <c r="A35" s="47" t="s">
        <v>119</v>
      </c>
      <c r="B35" s="9" t="s">
        <v>104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2"/>
      <c r="N35" s="50"/>
      <c r="O35" s="50"/>
      <c r="P35" s="50"/>
      <c r="Q35" s="50"/>
      <c r="R35" s="50"/>
      <c r="S35" s="55"/>
      <c r="T35" s="55"/>
      <c r="U35" s="55"/>
      <c r="V35" s="55"/>
      <c r="W35" s="55"/>
      <c r="X35" s="54"/>
      <c r="Y35" s="50"/>
      <c r="Z35" s="50"/>
      <c r="AA35" s="50"/>
      <c r="AB35" s="50"/>
      <c r="AC35" s="161"/>
      <c r="AD35" s="50"/>
      <c r="AE35" s="50"/>
      <c r="AF35" s="50"/>
      <c r="AG35" s="50"/>
      <c r="AH35" s="50"/>
      <c r="AI35" s="50"/>
      <c r="AJ35" s="54"/>
      <c r="AK35" s="50"/>
      <c r="AL35" s="56"/>
      <c r="AM35" s="56"/>
      <c r="AN35" s="56"/>
      <c r="AO35" s="51"/>
      <c r="AP35" s="56"/>
      <c r="AQ35" s="56"/>
      <c r="AR35" s="50"/>
      <c r="AS35" s="50"/>
      <c r="AT35" s="50"/>
      <c r="AU35" s="50"/>
      <c r="AV35" s="54"/>
      <c r="AW35" s="63">
        <f>'Global (product)'!O33</f>
        <v>6.4601576450273535E-2</v>
      </c>
      <c r="AX35" s="107">
        <f>'South America (product)'!K33</f>
        <v>1.9480406152601142E-4</v>
      </c>
      <c r="AY35" s="66">
        <f>'Oceania (product)'!K33</f>
        <v>0</v>
      </c>
      <c r="AZ35" s="63">
        <f>'NAM (product)'!K33</f>
        <v>6.4050408980230733E-2</v>
      </c>
      <c r="BA35" s="58">
        <f>'Canada (product)'!K33</f>
        <v>7.1353245542253793E-2</v>
      </c>
      <c r="BB35" s="63">
        <f>'Europe (product)'!K33</f>
        <v>6.8443384204204941E-2</v>
      </c>
      <c r="BC35" s="63">
        <f>'GCC (product)'!K33</f>
        <v>0.13418154632026164</v>
      </c>
      <c r="BD35" s="66">
        <f>'Russia and Other Euro (product)'!K33</f>
        <v>0</v>
      </c>
      <c r="BE35" s="66">
        <f>'Africa (product)'!K33</f>
        <v>0</v>
      </c>
      <c r="BF35" s="63">
        <f>'Other Asia (product)'!K33</f>
        <v>0.11109471816736409</v>
      </c>
      <c r="BG35" s="66" t="s">
        <v>100</v>
      </c>
      <c r="BI35" s="67"/>
    </row>
    <row r="36" spans="1:61">
      <c r="A36" s="47"/>
      <c r="B36" s="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2"/>
      <c r="N36" s="50"/>
      <c r="O36" s="50"/>
      <c r="P36" s="50"/>
      <c r="Q36" s="50"/>
      <c r="R36" s="50"/>
      <c r="S36" s="55"/>
      <c r="T36" s="55"/>
      <c r="U36" s="55"/>
      <c r="V36" s="55"/>
      <c r="W36" s="55"/>
      <c r="X36" s="54"/>
      <c r="Y36" s="50"/>
      <c r="Z36" s="50"/>
      <c r="AA36" s="50"/>
      <c r="AB36" s="50"/>
      <c r="AC36" s="161"/>
      <c r="AD36" s="50"/>
      <c r="AE36" s="50"/>
      <c r="AF36" s="50"/>
      <c r="AG36" s="50"/>
      <c r="AH36" s="50"/>
      <c r="AI36" s="50"/>
      <c r="AJ36" s="54"/>
      <c r="AK36" s="50"/>
      <c r="AL36" s="56"/>
      <c r="AM36" s="56"/>
      <c r="AN36" s="56"/>
      <c r="AO36" s="51"/>
      <c r="AP36" s="56"/>
      <c r="AQ36" s="56"/>
      <c r="AR36" s="50"/>
      <c r="AS36" s="50"/>
      <c r="AT36" s="50"/>
      <c r="AU36" s="50"/>
      <c r="AV36" s="54"/>
      <c r="AW36" s="56"/>
      <c r="AX36" s="56"/>
      <c r="AY36" s="56"/>
      <c r="AZ36" s="56"/>
      <c r="BA36" s="51"/>
      <c r="BB36" s="56"/>
      <c r="BC36" s="56"/>
      <c r="BD36" s="56"/>
      <c r="BE36" s="56"/>
      <c r="BF36" s="56"/>
      <c r="BG36" s="56"/>
      <c r="BI36" s="67"/>
    </row>
    <row r="37" spans="1:61">
      <c r="A37" s="47"/>
      <c r="B37" s="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2"/>
      <c r="N37" s="50"/>
      <c r="O37" s="50"/>
      <c r="P37" s="50"/>
      <c r="Q37" s="50"/>
      <c r="R37" s="50"/>
      <c r="S37" s="55"/>
      <c r="T37" s="55"/>
      <c r="U37" s="55"/>
      <c r="V37" s="55"/>
      <c r="W37" s="55"/>
      <c r="X37" s="54"/>
      <c r="Y37" s="50"/>
      <c r="Z37" s="50"/>
      <c r="AA37" s="50"/>
      <c r="AB37" s="50"/>
      <c r="AC37" s="161"/>
      <c r="AD37" s="50"/>
      <c r="AE37" s="50"/>
      <c r="AF37" s="50"/>
      <c r="AG37" s="50"/>
      <c r="AH37" s="50"/>
      <c r="AI37" s="50"/>
      <c r="AJ37" s="54"/>
      <c r="AK37" s="50"/>
      <c r="AL37" s="56"/>
      <c r="AM37" s="56"/>
      <c r="AN37" s="56"/>
      <c r="AO37" s="51"/>
      <c r="AP37" s="56"/>
      <c r="AQ37" s="56"/>
      <c r="AR37" s="50"/>
      <c r="AS37" s="50"/>
      <c r="AT37" s="50"/>
      <c r="AU37" s="50"/>
      <c r="AV37" s="54"/>
      <c r="AW37" s="56"/>
      <c r="AX37" s="56"/>
      <c r="AY37" s="56"/>
      <c r="AZ37" s="56"/>
      <c r="BA37" s="51"/>
      <c r="BB37" s="56"/>
      <c r="BC37" s="56"/>
      <c r="BD37" s="56"/>
      <c r="BE37" s="56"/>
      <c r="BF37" s="56"/>
      <c r="BG37" s="56"/>
      <c r="BI37" s="67"/>
    </row>
    <row r="38" spans="1:61">
      <c r="A38" s="34" t="s">
        <v>120</v>
      </c>
      <c r="B38" s="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2"/>
      <c r="N38" s="50"/>
      <c r="O38" s="50"/>
      <c r="P38" s="50"/>
      <c r="Q38" s="50"/>
      <c r="R38" s="50"/>
      <c r="S38" s="55"/>
      <c r="T38" s="55"/>
      <c r="U38" s="55"/>
      <c r="V38" s="55"/>
      <c r="W38" s="55"/>
      <c r="X38" s="54"/>
      <c r="Y38" s="50"/>
      <c r="Z38" s="50"/>
      <c r="AA38" s="50"/>
      <c r="AB38" s="50"/>
      <c r="AC38" s="161"/>
      <c r="AD38" s="50"/>
      <c r="AE38" s="50"/>
      <c r="AF38" s="50"/>
      <c r="AG38" s="50"/>
      <c r="AH38" s="50"/>
      <c r="AI38" s="50"/>
      <c r="AJ38" s="54"/>
      <c r="AK38" s="50"/>
      <c r="AL38" s="56"/>
      <c r="AM38" s="56"/>
      <c r="AN38" s="56"/>
      <c r="AO38" s="51"/>
      <c r="AP38" s="56"/>
      <c r="AQ38" s="56"/>
      <c r="AR38" s="50"/>
      <c r="AS38" s="50"/>
      <c r="AT38" s="50"/>
      <c r="AU38" s="50"/>
      <c r="AV38" s="54"/>
      <c r="AW38" s="50"/>
      <c r="AX38" s="50"/>
      <c r="AY38" s="50"/>
      <c r="AZ38" s="50"/>
      <c r="BA38" s="161"/>
      <c r="BB38" s="50"/>
      <c r="BC38" s="50"/>
      <c r="BD38" s="50"/>
      <c r="BE38" s="50"/>
      <c r="BF38" s="50"/>
      <c r="BG38" s="50"/>
      <c r="BI38" s="67"/>
    </row>
    <row r="39" spans="1:61" ht="16">
      <c r="A39" s="47" t="s">
        <v>121</v>
      </c>
      <c r="B39" s="9" t="s">
        <v>108</v>
      </c>
      <c r="C39" s="65">
        <f>'Global (product)'!$C$36*C11</f>
        <v>3.4076224573754477</v>
      </c>
      <c r="D39" s="65">
        <f>'South America (product)'!C36*$D$11</f>
        <v>5.6914737611718245</v>
      </c>
      <c r="E39" s="68">
        <f>'Oceania (product)'!C36*$E$11</f>
        <v>28.217243694162981</v>
      </c>
      <c r="F39" s="68" t="s">
        <v>100</v>
      </c>
      <c r="G39" s="68" t="s">
        <v>100</v>
      </c>
      <c r="H39" s="68" t="s">
        <v>100</v>
      </c>
      <c r="I39" s="68" t="s">
        <v>100</v>
      </c>
      <c r="J39" s="68" t="s">
        <v>100</v>
      </c>
      <c r="K39" s="68" t="s">
        <v>100</v>
      </c>
      <c r="L39" s="68" t="s">
        <v>100</v>
      </c>
      <c r="M39" s="60"/>
      <c r="N39" s="63">
        <f>'Global (product)'!$E$36*N11</f>
        <v>5.3649608764050809</v>
      </c>
      <c r="O39" s="63">
        <f>'South America (product)'!$E$36*O11</f>
        <v>4.1839122544208349</v>
      </c>
      <c r="P39" s="63">
        <f>'Oceania (product)'!E36*$P$11</f>
        <v>4.0871684754083528</v>
      </c>
      <c r="Q39" s="63">
        <f>'NAM (product)'!E36*$Q$11</f>
        <v>2.5482140014573078</v>
      </c>
      <c r="R39" s="66">
        <f>'Europe (product)'!$E36*$R$11</f>
        <v>0</v>
      </c>
      <c r="S39" s="77">
        <f>'Russia and Other Euro (product)'!E36*$S$11</f>
        <v>14.748656416881401</v>
      </c>
      <c r="T39" s="77" t="s">
        <v>100</v>
      </c>
      <c r="U39" s="77" t="s">
        <v>100</v>
      </c>
      <c r="V39" s="77">
        <f>'Other Asia (product)'!E36*V11</f>
        <v>5.8317867985824776</v>
      </c>
      <c r="W39" s="77" t="s">
        <v>100</v>
      </c>
      <c r="X39" s="64"/>
      <c r="Y39" s="56">
        <f>(((IFERROR('Global (product)'!G36*'Global (product)'!$L$5,0))+(IFERROR('Global (product)'!I36*'Global (product)'!$L$4,0)))*$Y$11)</f>
        <v>2.2090766681879433E-2</v>
      </c>
      <c r="Z39" s="56">
        <f>'South America (product)'!G36*$Z$11</f>
        <v>3.7760157748423021E-2</v>
      </c>
      <c r="AA39" s="63" t="str">
        <f>'Oceania (product)'!G36</f>
        <v>nd</v>
      </c>
      <c r="AB39" s="63">
        <f>'NAM (product)'!G36*$AB$11</f>
        <v>1.6073699023935379</v>
      </c>
      <c r="AC39" s="248" t="str">
        <f>'Canada (product)'!G36</f>
        <v>nd</v>
      </c>
      <c r="AD39" s="63">
        <f>'Europe (product)'!G36*$AD$11</f>
        <v>0.34280821106602549</v>
      </c>
      <c r="AE39" s="66">
        <f>'GCC (product)'!G36*$AE$11</f>
        <v>0</v>
      </c>
      <c r="AF39" s="66" t="str">
        <f>'Russia and Other Euro (product)'!G36</f>
        <v>nd</v>
      </c>
      <c r="AG39" s="77" t="s">
        <v>100</v>
      </c>
      <c r="AH39" s="63">
        <f>'Other Asia (product)'!G36*$AH$11</f>
        <v>6.8073486526461779E-2</v>
      </c>
      <c r="AI39" s="77" t="s">
        <v>100</v>
      </c>
      <c r="AJ39" s="64"/>
      <c r="AK39" s="63">
        <f>(((IFERROR('Global (product)'!K36*'Global (product)'!$L$5,0))+(IFERROR('Global (product)'!M36*'Global (product)'!$L$4,0))))</f>
        <v>5.087589178056608</v>
      </c>
      <c r="AL39" s="66">
        <f>'South America (product)'!I36</f>
        <v>1.3460323044040885</v>
      </c>
      <c r="AM39" s="66" t="str">
        <f>'Oceania (product)'!I36</f>
        <v>nd</v>
      </c>
      <c r="AN39" s="66">
        <f>'NAM (product)'!I36</f>
        <v>2.2452013335182035</v>
      </c>
      <c r="AO39" s="247">
        <f>'Canada (product)'!I36</f>
        <v>2.0417370603238871</v>
      </c>
      <c r="AP39" s="66">
        <f>'Europe (product)'!I36</f>
        <v>15.559735678083459</v>
      </c>
      <c r="AQ39" s="66">
        <f>'GCC (product)'!I36</f>
        <v>0</v>
      </c>
      <c r="AR39" s="77" t="str">
        <f>'Russia and Other Euro (product)'!I36</f>
        <v>nd</v>
      </c>
      <c r="AS39" s="77">
        <f>'Africa (product)'!I36</f>
        <v>0.28608798384746537</v>
      </c>
      <c r="AT39" s="77">
        <f>'Other Asia (product)'!I36</f>
        <v>0.80845875114768784</v>
      </c>
      <c r="AU39" s="77" t="s">
        <v>100</v>
      </c>
      <c r="AV39" s="64"/>
      <c r="AW39" s="63">
        <f>'Global (product)'!O36</f>
        <v>0.53761624372144168</v>
      </c>
      <c r="AX39" s="63">
        <f>'South America (product)'!K36</f>
        <v>1.1204163024192924</v>
      </c>
      <c r="AY39" s="63">
        <f>'Oceania (product)'!K36</f>
        <v>0.97425903059193442</v>
      </c>
      <c r="AZ39" s="63">
        <f>'NAM (product)'!K36</f>
        <v>0.57376400096516222</v>
      </c>
      <c r="BA39" s="58">
        <f>'Canada (product)'!K36</f>
        <v>0.53761624372144168</v>
      </c>
      <c r="BB39" s="63">
        <f>'Europe (product)'!K36</f>
        <v>0.32187575049133083</v>
      </c>
      <c r="BC39" s="56">
        <f>'GCC (product)'!K36</f>
        <v>1.2524959991222905E-2</v>
      </c>
      <c r="BD39" s="63" t="str">
        <f>'Russia and Other Euro (product)'!K36</f>
        <v>nd</v>
      </c>
      <c r="BE39" s="63">
        <f>'Africa (product)'!K36</f>
        <v>0.43061313626371506</v>
      </c>
      <c r="BF39" s="63">
        <f>'Other Asia (product)'!K36</f>
        <v>0.97425903059193442</v>
      </c>
      <c r="BG39" s="72" t="s">
        <v>100</v>
      </c>
      <c r="BI39" s="67"/>
    </row>
    <row r="40" spans="1:61" ht="16">
      <c r="A40" s="47" t="s">
        <v>122</v>
      </c>
      <c r="B40" s="9" t="s">
        <v>108</v>
      </c>
      <c r="C40" s="50">
        <f>'Global (product)'!$C$37*C11</f>
        <v>6.3671576647648345E-2</v>
      </c>
      <c r="D40" s="68">
        <f>'South America (product)'!C37*$D$11</f>
        <v>0</v>
      </c>
      <c r="E40" s="68">
        <f>'Oceania (product)'!C37*$E$11</f>
        <v>0</v>
      </c>
      <c r="F40" s="68" t="s">
        <v>100</v>
      </c>
      <c r="G40" s="68" t="s">
        <v>100</v>
      </c>
      <c r="H40" s="68" t="s">
        <v>100</v>
      </c>
      <c r="I40" s="68" t="s">
        <v>100</v>
      </c>
      <c r="J40" s="68" t="s">
        <v>100</v>
      </c>
      <c r="K40" s="68" t="s">
        <v>100</v>
      </c>
      <c r="L40" s="68" t="s">
        <v>100</v>
      </c>
      <c r="M40" s="52"/>
      <c r="N40" s="68">
        <f>'Global (product)'!$E$37*N11</f>
        <v>0.17720491487636855</v>
      </c>
      <c r="O40" s="68">
        <f>'South America (product)'!$E$37*O11</f>
        <v>0</v>
      </c>
      <c r="P40" s="63">
        <f>'Oceania (product)'!E37*$P$11</f>
        <v>0.29263014106650898</v>
      </c>
      <c r="Q40" s="63" t="s">
        <v>100</v>
      </c>
      <c r="R40" s="66">
        <f>'Europe (product)'!$E37*$R$11</f>
        <v>0</v>
      </c>
      <c r="S40" s="66">
        <f>'Russia and Other Euro (product)'!E37*$S$11</f>
        <v>0</v>
      </c>
      <c r="T40" s="77" t="s">
        <v>100</v>
      </c>
      <c r="U40" s="77" t="s">
        <v>100</v>
      </c>
      <c r="V40" s="69">
        <f>'Other Asia (product)'!E37*V12</f>
        <v>0</v>
      </c>
      <c r="W40" s="77" t="s">
        <v>100</v>
      </c>
      <c r="X40" s="54"/>
      <c r="Y40" s="63">
        <f>(((IFERROR('Global (product)'!G37*'Global (product)'!$L$5,0))+(IFERROR('Global (product)'!I37*'Global (product)'!$L$4,0)))*$Y$11)</f>
        <v>0.20022989422692636</v>
      </c>
      <c r="Z40" s="66">
        <f>'South America (product)'!G37*$Z$11</f>
        <v>0</v>
      </c>
      <c r="AA40" s="63" t="str">
        <f>'Oceania (product)'!G37</f>
        <v>nd</v>
      </c>
      <c r="AB40" s="66">
        <f>'NAM (product)'!G37*$AB$11</f>
        <v>0</v>
      </c>
      <c r="AC40" s="247">
        <f>'Canada (product)'!G37*$AC$11</f>
        <v>0</v>
      </c>
      <c r="AD40" s="66">
        <f>'Europe (product)'!G37*$AD$11</f>
        <v>0</v>
      </c>
      <c r="AE40" s="63" t="str">
        <f>'GCC (product)'!G37</f>
        <v>nd</v>
      </c>
      <c r="AF40" s="66">
        <f>'Russia and Other Euro (product)'!G37*$AF$11</f>
        <v>0</v>
      </c>
      <c r="AG40" s="77" t="s">
        <v>100</v>
      </c>
      <c r="AH40" s="66">
        <f>'Other Asia (product)'!G37*$AH$11</f>
        <v>0</v>
      </c>
      <c r="AI40" s="77" t="s">
        <v>100</v>
      </c>
      <c r="AJ40" s="54"/>
      <c r="AK40" s="63">
        <f>(((IFERROR('Global (product)'!K37*'Global (product)'!$L$5,0))+(IFERROR('Global (product)'!M37*'Global (product)'!$L$4,0))))</f>
        <v>6.0757841040058373</v>
      </c>
      <c r="AL40" s="66">
        <f>'South America (product)'!I37</f>
        <v>0</v>
      </c>
      <c r="AM40" s="66">
        <f>'Oceania (product)'!I37</f>
        <v>0</v>
      </c>
      <c r="AN40" s="66">
        <f>'NAM (product)'!I37</f>
        <v>0</v>
      </c>
      <c r="AO40" s="247">
        <f>'Canada (product)'!I37</f>
        <v>0</v>
      </c>
      <c r="AP40" s="66">
        <f>'Europe (product)'!I37</f>
        <v>0</v>
      </c>
      <c r="AQ40" s="66">
        <f>'GCC (product)'!I37</f>
        <v>5.6065969609012143</v>
      </c>
      <c r="AR40" s="69">
        <f>'Russia and Other Euro (product)'!I37</f>
        <v>0</v>
      </c>
      <c r="AS40" s="69">
        <f>'Africa (product)'!I37</f>
        <v>0</v>
      </c>
      <c r="AT40" s="69">
        <f>'Other Asia (product)'!I37</f>
        <v>0</v>
      </c>
      <c r="AU40" s="77" t="s">
        <v>100</v>
      </c>
      <c r="AV40" s="54"/>
      <c r="AW40" s="63">
        <f>'Global (product)'!O37</f>
        <v>8.7661269378862094E-2</v>
      </c>
      <c r="AX40" s="66">
        <f>'South America (product)'!K37</f>
        <v>0</v>
      </c>
      <c r="AY40" s="66">
        <f>'Oceania (product)'!K37</f>
        <v>0</v>
      </c>
      <c r="AZ40" s="66">
        <f>'NAM (product)'!K37</f>
        <v>0</v>
      </c>
      <c r="BA40" s="61">
        <f>'Canada (product)'!K37</f>
        <v>0</v>
      </c>
      <c r="BB40" s="66">
        <f>'Europe (product)'!K37</f>
        <v>0</v>
      </c>
      <c r="BC40" s="63">
        <f>'GCC (product)'!K37</f>
        <v>0.34490623019089028</v>
      </c>
      <c r="BD40" s="66" t="str">
        <f>'Russia and Other Euro (product)'!K37</f>
        <v>nd</v>
      </c>
      <c r="BE40" s="66">
        <f>'Africa (product)'!K37</f>
        <v>0</v>
      </c>
      <c r="BF40" s="66">
        <f>'Other Asia (product)'!K37</f>
        <v>0</v>
      </c>
      <c r="BG40" s="72" t="s">
        <v>100</v>
      </c>
      <c r="BI40" s="67"/>
    </row>
    <row r="41" spans="1:61" ht="16">
      <c r="A41" s="47" t="s">
        <v>123</v>
      </c>
      <c r="B41" s="280" t="s">
        <v>236</v>
      </c>
      <c r="C41" s="283">
        <f>'Global (product)'!$C$38*C11</f>
        <v>1.7568852100917784</v>
      </c>
      <c r="D41" s="283">
        <f>'South America (product)'!C38*$D$11</f>
        <v>2.5015655335684168</v>
      </c>
      <c r="E41" s="283">
        <f>'Oceania (product)'!C38*$E$11</f>
        <v>1.9128161163241619</v>
      </c>
      <c r="F41" s="68" t="s">
        <v>100</v>
      </c>
      <c r="G41" s="68" t="s">
        <v>100</v>
      </c>
      <c r="H41" s="68" t="s">
        <v>100</v>
      </c>
      <c r="I41" s="68" t="s">
        <v>100</v>
      </c>
      <c r="J41" s="68" t="s">
        <v>100</v>
      </c>
      <c r="K41" s="68" t="s">
        <v>100</v>
      </c>
      <c r="L41" s="68" t="s">
        <v>100</v>
      </c>
      <c r="M41" s="70"/>
      <c r="N41" s="285">
        <f>'Global (product)'!$E$38*N11</f>
        <v>1.9612623308529622</v>
      </c>
      <c r="O41" s="285">
        <f>'South America (product)'!$E$38*O11</f>
        <v>1.4550289023806837</v>
      </c>
      <c r="P41" s="285">
        <f>'Oceania (product)'!E38*$P$11</f>
        <v>2.0049329211125926</v>
      </c>
      <c r="Q41" s="285">
        <f>'NAM (product)'!E38*$Q$11</f>
        <v>2.6235052425722918</v>
      </c>
      <c r="R41" s="285">
        <f>'Europe (product)'!$E38*$R$11</f>
        <v>1.2704784147825465</v>
      </c>
      <c r="S41" s="285">
        <f>'Russia and Other Euro (product)'!E38*$S$11</f>
        <v>3.7426251973081914</v>
      </c>
      <c r="T41" s="77" t="s">
        <v>100</v>
      </c>
      <c r="U41" s="77" t="s">
        <v>100</v>
      </c>
      <c r="V41" s="77" t="s">
        <v>100</v>
      </c>
      <c r="W41" s="77" t="s">
        <v>100</v>
      </c>
      <c r="X41" s="54"/>
      <c r="Y41" s="50"/>
      <c r="Z41" s="50"/>
      <c r="AA41" s="50"/>
      <c r="AB41" s="50"/>
      <c r="AC41" s="161"/>
      <c r="AD41" s="50"/>
      <c r="AE41" s="50"/>
      <c r="AF41" s="50"/>
      <c r="AG41" s="50"/>
      <c r="AH41" s="50"/>
      <c r="AI41" s="50"/>
      <c r="AJ41" s="54"/>
      <c r="AK41" s="50"/>
      <c r="AL41" s="56"/>
      <c r="AM41" s="56"/>
      <c r="AN41" s="56"/>
      <c r="AO41" s="51"/>
      <c r="AP41" s="56"/>
      <c r="AQ41" s="56"/>
      <c r="AR41" s="50"/>
      <c r="AS41" s="50"/>
      <c r="AT41" s="50"/>
      <c r="AU41" s="50"/>
      <c r="AV41" s="54"/>
      <c r="AW41" s="63"/>
      <c r="AX41" s="63"/>
      <c r="AY41" s="63"/>
      <c r="AZ41" s="63"/>
      <c r="BA41" s="58"/>
      <c r="BB41" s="63"/>
      <c r="BC41" s="63"/>
      <c r="BD41" s="63"/>
      <c r="BE41" s="63"/>
      <c r="BF41" s="63"/>
      <c r="BG41" s="63"/>
      <c r="BI41" s="67"/>
    </row>
    <row r="42" spans="1:61">
      <c r="A42" s="47" t="s">
        <v>124</v>
      </c>
      <c r="B42" s="9"/>
      <c r="C42" s="50"/>
      <c r="D42" s="68"/>
      <c r="E42" s="68"/>
      <c r="F42" s="68"/>
      <c r="G42" s="68"/>
      <c r="H42" s="68"/>
      <c r="I42" s="68"/>
      <c r="J42" s="68"/>
      <c r="K42" s="68"/>
      <c r="L42" s="68"/>
      <c r="M42" s="52"/>
      <c r="N42" s="50"/>
      <c r="O42" s="50"/>
      <c r="P42" s="50"/>
      <c r="Q42" s="50"/>
      <c r="R42" s="50"/>
      <c r="S42" s="55"/>
      <c r="T42" s="55"/>
      <c r="U42" s="55"/>
      <c r="V42" s="55"/>
      <c r="W42" s="55"/>
      <c r="X42" s="54"/>
      <c r="Y42" s="50"/>
      <c r="Z42" s="50"/>
      <c r="AA42" s="50"/>
      <c r="AB42" s="50"/>
      <c r="AC42" s="161"/>
      <c r="AD42" s="50"/>
      <c r="AE42" s="50"/>
      <c r="AF42" s="50"/>
      <c r="AG42" s="50"/>
      <c r="AH42" s="50"/>
      <c r="AI42" s="50"/>
      <c r="AJ42" s="54"/>
      <c r="AK42" s="50"/>
      <c r="AL42" s="56"/>
      <c r="AM42" s="56"/>
      <c r="AN42" s="56"/>
      <c r="AO42" s="51"/>
      <c r="AP42" s="56"/>
      <c r="AQ42" s="56"/>
      <c r="AR42" s="50"/>
      <c r="AS42" s="50"/>
      <c r="AT42" s="50"/>
      <c r="AU42" s="50"/>
      <c r="AV42" s="54"/>
      <c r="AW42" s="63"/>
      <c r="AX42" s="63"/>
      <c r="AY42" s="63"/>
      <c r="AZ42" s="63"/>
      <c r="BA42" s="58"/>
      <c r="BB42" s="63"/>
      <c r="BC42" s="63"/>
      <c r="BD42" s="63"/>
      <c r="BE42" s="63"/>
      <c r="BF42" s="63"/>
      <c r="BG42" s="63"/>
      <c r="BI42" s="67"/>
    </row>
    <row r="43" spans="1:61" ht="16">
      <c r="A43" s="243" t="s">
        <v>125</v>
      </c>
      <c r="B43" s="9" t="s">
        <v>126</v>
      </c>
      <c r="C43" s="244" t="str">
        <f>'Global (product)'!$C$39</f>
        <v>Other forest</v>
      </c>
      <c r="D43" s="239" t="str">
        <f>'South America (product)'!C39</f>
        <v>Tropical Rainforest</v>
      </c>
      <c r="E43" s="239" t="str">
        <f>'Oceania (product)'!C39</f>
        <v>Other forest</v>
      </c>
      <c r="F43" s="68" t="s">
        <v>100</v>
      </c>
      <c r="G43" s="68" t="s">
        <v>100</v>
      </c>
      <c r="H43" s="68" t="s">
        <v>100</v>
      </c>
      <c r="I43" s="68" t="s">
        <v>100</v>
      </c>
      <c r="J43" s="68" t="s">
        <v>100</v>
      </c>
      <c r="K43" s="68" t="s">
        <v>100</v>
      </c>
      <c r="L43" s="68" t="s">
        <v>100</v>
      </c>
      <c r="M43" s="52"/>
      <c r="N43" s="239" t="str">
        <f>'Global (product)'!$E$39</f>
        <v xml:space="preserve">Pastureland </v>
      </c>
      <c r="O43" s="239" t="str">
        <f>'South America (product)'!$E$39</f>
        <v xml:space="preserve">Pastureland </v>
      </c>
      <c r="P43" s="239" t="str">
        <f>'Oceania (product)'!$E$39</f>
        <v xml:space="preserve">Pastureland </v>
      </c>
      <c r="Q43" s="239" t="str">
        <f>'NAM (product)'!E39</f>
        <v xml:space="preserve">Pastureland </v>
      </c>
      <c r="R43" s="239" t="str">
        <f>'Europe (product)'!$E$39</f>
        <v xml:space="preserve">Pastureland </v>
      </c>
      <c r="S43" s="77" t="str">
        <f>'Russia and Other Euro (product)'!E39</f>
        <v>Forest</v>
      </c>
      <c r="T43" s="77" t="s">
        <v>100</v>
      </c>
      <c r="U43" s="77" t="s">
        <v>100</v>
      </c>
      <c r="V43" s="77" t="s">
        <v>100</v>
      </c>
      <c r="W43" s="77" t="s">
        <v>100</v>
      </c>
      <c r="X43" s="54"/>
      <c r="Y43" s="63"/>
      <c r="Z43" s="63"/>
      <c r="AA43" s="63"/>
      <c r="AB43" s="63"/>
      <c r="AC43" s="58"/>
      <c r="AD43" s="63"/>
      <c r="AE43" s="63"/>
      <c r="AF43" s="77"/>
      <c r="AG43" s="77"/>
      <c r="AH43" s="77"/>
      <c r="AI43" s="77"/>
      <c r="AJ43" s="54"/>
      <c r="AK43" s="63"/>
      <c r="AL43" s="56"/>
      <c r="AM43" s="56"/>
      <c r="AN43" s="56"/>
      <c r="AO43" s="51"/>
      <c r="AP43" s="56"/>
      <c r="AQ43" s="56"/>
      <c r="AR43" s="77"/>
      <c r="AS43" s="77"/>
      <c r="AT43" s="77"/>
      <c r="AU43" s="77"/>
      <c r="AV43" s="54"/>
      <c r="AW43" s="63"/>
      <c r="AX43" s="63"/>
      <c r="AY43" s="63"/>
      <c r="AZ43" s="63"/>
      <c r="BA43" s="58"/>
      <c r="BB43" s="63"/>
      <c r="BC43" s="63"/>
      <c r="BD43" s="63"/>
      <c r="BE43" s="63"/>
      <c r="BF43" s="63"/>
      <c r="BG43" s="63"/>
      <c r="BI43" s="67"/>
    </row>
    <row r="44" spans="1:61" ht="16">
      <c r="A44" s="243" t="s">
        <v>127</v>
      </c>
      <c r="B44" s="9" t="s">
        <v>126</v>
      </c>
      <c r="C44" s="50" t="str">
        <f>'Global (product)'!$C$40</f>
        <v>Forest</v>
      </c>
      <c r="D44" s="68" t="str">
        <f>'South America (product)'!C40</f>
        <v>Forest</v>
      </c>
      <c r="E44" s="68" t="str">
        <f>'Oceania (product)'!C40</f>
        <v>Forest</v>
      </c>
      <c r="F44" s="68" t="s">
        <v>100</v>
      </c>
      <c r="G44" s="68" t="s">
        <v>100</v>
      </c>
      <c r="H44" s="68" t="s">
        <v>100</v>
      </c>
      <c r="I44" s="68" t="s">
        <v>100</v>
      </c>
      <c r="J44" s="68" t="s">
        <v>100</v>
      </c>
      <c r="K44" s="68" t="s">
        <v>100</v>
      </c>
      <c r="L44" s="68" t="s">
        <v>100</v>
      </c>
      <c r="M44" s="52"/>
      <c r="N44" s="239" t="str">
        <f>'Global (product)'!$E$40</f>
        <v>Treated and vegetated</v>
      </c>
      <c r="O44" s="239" t="str">
        <f>'South America (product)'!$E$40</f>
        <v>Treated and vegetated</v>
      </c>
      <c r="P44" s="239" t="str">
        <f>'Oceania (product)'!$E$40</f>
        <v>Treated and vegetated</v>
      </c>
      <c r="Q44" s="239" t="str">
        <f>'NAM (product)'!E40</f>
        <v>Treated and vegetated</v>
      </c>
      <c r="R44" s="239" t="str">
        <f>'Europe (product)'!$E$40</f>
        <v>Treated and vegetated</v>
      </c>
      <c r="S44" s="77" t="s">
        <v>100</v>
      </c>
      <c r="T44" s="77" t="s">
        <v>100</v>
      </c>
      <c r="U44" s="77" t="s">
        <v>100</v>
      </c>
      <c r="V44" s="77" t="s">
        <v>100</v>
      </c>
      <c r="W44" s="77" t="s">
        <v>100</v>
      </c>
      <c r="X44" s="54"/>
      <c r="Y44" s="63"/>
      <c r="Z44" s="63"/>
      <c r="AA44" s="63"/>
      <c r="AB44" s="63"/>
      <c r="AC44" s="58"/>
      <c r="AD44" s="63"/>
      <c r="AE44" s="63"/>
      <c r="AF44" s="77"/>
      <c r="AG44" s="77"/>
      <c r="AH44" s="77"/>
      <c r="AI44" s="77"/>
      <c r="AJ44" s="54"/>
      <c r="AK44" s="63"/>
      <c r="AL44" s="56"/>
      <c r="AM44" s="56"/>
      <c r="AN44" s="56"/>
      <c r="AO44" s="51"/>
      <c r="AP44" s="56"/>
      <c r="AQ44" s="56"/>
      <c r="AR44" s="77"/>
      <c r="AS44" s="77"/>
      <c r="AT44" s="77"/>
      <c r="AU44" s="77"/>
      <c r="AV44" s="54"/>
      <c r="AW44" s="63"/>
      <c r="AX44" s="63"/>
      <c r="AY44" s="63"/>
      <c r="AZ44" s="63"/>
      <c r="BA44" s="58"/>
      <c r="BB44" s="63"/>
      <c r="BC44" s="63"/>
      <c r="BD44" s="63"/>
      <c r="BE44" s="63"/>
      <c r="BF44" s="63"/>
      <c r="BG44" s="63"/>
      <c r="BI44" s="67"/>
    </row>
    <row r="45" spans="1:61" ht="16">
      <c r="A45" s="32" t="s">
        <v>128</v>
      </c>
      <c r="B45" s="9" t="s">
        <v>129</v>
      </c>
      <c r="C45" s="13">
        <f>'Global (product)'!$C$41*C11</f>
        <v>1.1872580666088218E-6</v>
      </c>
      <c r="D45" s="281">
        <f>'South America (product)'!C41*D11</f>
        <v>4.6214291351798876E-6</v>
      </c>
      <c r="E45" s="281">
        <f>'Oceania (product)'!C41*E11</f>
        <v>7.8432091846146727E-7</v>
      </c>
      <c r="F45" s="68" t="s">
        <v>100</v>
      </c>
      <c r="G45" s="68" t="s">
        <v>100</v>
      </c>
      <c r="H45" s="68" t="s">
        <v>100</v>
      </c>
      <c r="I45" s="68" t="s">
        <v>100</v>
      </c>
      <c r="J45" s="68" t="s">
        <v>100</v>
      </c>
      <c r="K45" s="68" t="s">
        <v>100</v>
      </c>
      <c r="L45" s="68" t="s">
        <v>100</v>
      </c>
      <c r="M45" s="71"/>
      <c r="N45" s="242">
        <f>'Global (product)'!$E$41*N11</f>
        <v>2.2821520268337215E-5</v>
      </c>
      <c r="O45" s="242">
        <f>'South America (product)'!$E$41*O11</f>
        <v>7.9412153525067477E-6</v>
      </c>
      <c r="P45" s="242">
        <f>'Oceania (product)'!$E$41*P11</f>
        <v>1.4926687469787236E-5</v>
      </c>
      <c r="Q45" s="242">
        <f>'NAM (product)'!$E$41*Q11</f>
        <v>7.5437432183744768E-5</v>
      </c>
      <c r="R45" s="242">
        <f>'Europe (product)'!$E$41*R11</f>
        <v>2.8305540673995298E-5</v>
      </c>
      <c r="S45" s="242">
        <f>'Russia and Other Euro (product)'!E41*S11</f>
        <v>4.0314451482258691E-5</v>
      </c>
      <c r="T45" s="77" t="s">
        <v>100</v>
      </c>
      <c r="U45" s="77" t="s">
        <v>100</v>
      </c>
      <c r="V45" s="77" t="s">
        <v>100</v>
      </c>
      <c r="W45" s="77" t="s">
        <v>100</v>
      </c>
      <c r="X45" s="54"/>
      <c r="Y45" s="50"/>
      <c r="Z45" s="50"/>
      <c r="AA45" s="50"/>
      <c r="AB45" s="50"/>
      <c r="AC45" s="161"/>
      <c r="AD45" s="50"/>
      <c r="AE45" s="50"/>
      <c r="AF45" s="50"/>
      <c r="AG45" s="50"/>
      <c r="AH45" s="50"/>
      <c r="AI45" s="50"/>
      <c r="AJ45" s="54"/>
      <c r="AK45" s="50"/>
      <c r="AL45" s="56"/>
      <c r="AM45" s="56"/>
      <c r="AN45" s="56"/>
      <c r="AO45" s="51"/>
      <c r="AP45" s="56"/>
      <c r="AQ45" s="56"/>
      <c r="AR45" s="50"/>
      <c r="AS45" s="50"/>
      <c r="AT45" s="50"/>
      <c r="AU45" s="50"/>
      <c r="AV45" s="54"/>
      <c r="AW45" s="50"/>
      <c r="AX45" s="50"/>
      <c r="AY45" s="50"/>
      <c r="AZ45" s="50"/>
      <c r="BA45" s="161"/>
      <c r="BB45" s="50"/>
      <c r="BC45" s="50"/>
      <c r="BD45" s="50"/>
      <c r="BE45" s="50"/>
      <c r="BF45" s="50"/>
      <c r="BG45" s="50"/>
      <c r="BI45" s="67"/>
    </row>
    <row r="46" spans="1:61">
      <c r="A46" s="47"/>
      <c r="B46" s="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2"/>
      <c r="N46" s="50"/>
      <c r="O46" s="50"/>
      <c r="P46" s="50"/>
      <c r="Q46" s="50"/>
      <c r="R46" s="50"/>
      <c r="S46" s="55"/>
      <c r="T46" s="55"/>
      <c r="U46" s="55"/>
      <c r="V46" s="55"/>
      <c r="W46" s="55"/>
      <c r="X46" s="54"/>
      <c r="Y46" s="50"/>
      <c r="Z46" s="50"/>
      <c r="AA46" s="50"/>
      <c r="AB46" s="50"/>
      <c r="AC46" s="161"/>
      <c r="AD46" s="50"/>
      <c r="AE46" s="50"/>
      <c r="AF46" s="50"/>
      <c r="AG46" s="50"/>
      <c r="AH46" s="50"/>
      <c r="AI46" s="50"/>
      <c r="AJ46" s="54"/>
      <c r="AK46" s="50"/>
      <c r="AL46" s="56"/>
      <c r="AM46" s="56"/>
      <c r="AN46" s="56"/>
      <c r="AO46" s="51"/>
      <c r="AP46" s="56"/>
      <c r="AQ46" s="56"/>
      <c r="AR46" s="50"/>
      <c r="AS46" s="50"/>
      <c r="AT46" s="50"/>
      <c r="AU46" s="50"/>
      <c r="AV46" s="54"/>
      <c r="AW46" s="50"/>
      <c r="AX46" s="50"/>
      <c r="AY46" s="50"/>
      <c r="AZ46" s="50"/>
      <c r="BA46" s="161"/>
      <c r="BB46" s="50"/>
      <c r="BC46" s="50"/>
      <c r="BD46" s="50"/>
      <c r="BE46" s="50"/>
      <c r="BF46" s="50"/>
      <c r="BG46" s="50"/>
      <c r="BI46" s="67"/>
    </row>
    <row r="47" spans="1:61">
      <c r="A47" s="45" t="s">
        <v>130</v>
      </c>
      <c r="B47" s="44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2"/>
      <c r="N47" s="50"/>
      <c r="O47" s="50"/>
      <c r="P47" s="50"/>
      <c r="Q47" s="50"/>
      <c r="R47" s="50"/>
      <c r="S47" s="55"/>
      <c r="T47" s="55"/>
      <c r="U47" s="55"/>
      <c r="V47" s="55"/>
      <c r="W47" s="55"/>
      <c r="X47" s="54"/>
      <c r="Y47" s="50"/>
      <c r="Z47" s="50"/>
      <c r="AA47" s="50"/>
      <c r="AB47" s="50"/>
      <c r="AC47" s="161"/>
      <c r="AD47" s="50"/>
      <c r="AE47" s="50"/>
      <c r="AF47" s="50"/>
      <c r="AG47" s="50"/>
      <c r="AH47" s="50"/>
      <c r="AI47" s="50"/>
      <c r="AJ47" s="54"/>
      <c r="AK47" s="50"/>
      <c r="AL47" s="56"/>
      <c r="AM47" s="56"/>
      <c r="AN47" s="56"/>
      <c r="AO47" s="51"/>
      <c r="AP47" s="56"/>
      <c r="AQ47" s="56"/>
      <c r="AR47" s="50"/>
      <c r="AS47" s="50"/>
      <c r="AT47" s="50"/>
      <c r="AU47" s="50"/>
      <c r="AV47" s="54"/>
      <c r="AW47" s="50"/>
      <c r="AX47" s="50"/>
      <c r="AY47" s="50"/>
      <c r="AZ47" s="50"/>
      <c r="BA47" s="161"/>
      <c r="BB47" s="50"/>
      <c r="BC47" s="50"/>
      <c r="BD47" s="50"/>
      <c r="BE47" s="50"/>
      <c r="BF47" s="50"/>
      <c r="BG47" s="50"/>
      <c r="BI47" s="67"/>
    </row>
    <row r="48" spans="1:61" ht="16">
      <c r="A48" s="47" t="s">
        <v>131</v>
      </c>
      <c r="B48" s="9" t="s">
        <v>132</v>
      </c>
      <c r="C48" s="68">
        <f>'Global (product)'!$C$44*C11</f>
        <v>29.409275040746206</v>
      </c>
      <c r="D48" s="68">
        <f>'South America (product)'!C44*$D$11</f>
        <v>96.807542058217905</v>
      </c>
      <c r="E48" s="68">
        <f>'Oceania (product)'!C44*$E$11</f>
        <v>0</v>
      </c>
      <c r="F48" s="68" t="s">
        <v>100</v>
      </c>
      <c r="G48" s="68" t="s">
        <v>100</v>
      </c>
      <c r="H48" s="68" t="s">
        <v>100</v>
      </c>
      <c r="I48" s="68" t="s">
        <v>100</v>
      </c>
      <c r="J48" s="68" t="s">
        <v>100</v>
      </c>
      <c r="K48" s="68" t="s">
        <v>100</v>
      </c>
      <c r="L48" s="68" t="s">
        <v>100</v>
      </c>
      <c r="M48" s="52"/>
      <c r="N48" s="66">
        <f>'Global (product)'!E44*$N$11</f>
        <v>1608.7325180603857</v>
      </c>
      <c r="O48" s="66">
        <f>'South America (product)'!$E44*$N$11</f>
        <v>8564.5520767655053</v>
      </c>
      <c r="P48" s="66">
        <f>'Oceania (product)'!E44*$N$11</f>
        <v>18.637151267992017</v>
      </c>
      <c r="Q48" s="66">
        <f>'NAM (product)'!E44*$N$11</f>
        <v>1.9105311074796041</v>
      </c>
      <c r="R48" s="66">
        <f>'Europe (product)'!$E44*$N$11</f>
        <v>64.071678307649535</v>
      </c>
      <c r="S48" s="66">
        <f>'Russia and Other Euro (product)'!$E44*$S$11</f>
        <v>0</v>
      </c>
      <c r="T48" s="69">
        <f>'GCC (product)'!E44*$T$11</f>
        <v>0</v>
      </c>
      <c r="U48" s="77" t="s">
        <v>100</v>
      </c>
      <c r="V48" s="69">
        <f>'Other Asia (product)'!E44*$V$11</f>
        <v>3369.1850605342115</v>
      </c>
      <c r="W48" s="69">
        <f>'China (product)'!E44*$W$11</f>
        <v>1166.3422675943843</v>
      </c>
      <c r="X48" s="54"/>
      <c r="Y48" s="66">
        <f>(((IFERROR('Global (product)'!G44*'Global (product)'!$L$5,0))+(IFERROR('Global (product)'!I44*'Global (product)'!$L$4,0)))*$Y$11)</f>
        <v>277.87658273358056</v>
      </c>
      <c r="Z48" s="66">
        <f>'South America (product)'!G44*$Z$11</f>
        <v>592.51974908869624</v>
      </c>
      <c r="AA48" s="66">
        <f>'Oceania (product)'!G44*$AA$11</f>
        <v>292.65705172395246</v>
      </c>
      <c r="AB48" s="66">
        <f>'NAM (product)'!G44*$AB$11</f>
        <v>240.65781340317642</v>
      </c>
      <c r="AC48" s="247">
        <f>'Canada (product)'!G44*$AC$11</f>
        <v>278.23806564415264</v>
      </c>
      <c r="AD48" s="66">
        <f>'Europe (product)'!G44*$AD$11</f>
        <v>369.1504086597451</v>
      </c>
      <c r="AE48" s="66">
        <f>'GCC (product)'!G44*$AE$11</f>
        <v>0</v>
      </c>
      <c r="AF48" s="66">
        <f>'Russia and Other Euro (product)'!G44*$AF$11</f>
        <v>633.59292936240354</v>
      </c>
      <c r="AG48" s="66">
        <f>'Africa (product)'!G44*$AG$11</f>
        <v>0</v>
      </c>
      <c r="AH48" s="66">
        <f>'Other Asia (product)'!G44*$AH$11</f>
        <v>1086.0343247336384</v>
      </c>
      <c r="AI48" s="77" t="s">
        <v>100</v>
      </c>
      <c r="AJ48" s="54"/>
      <c r="AK48" s="50"/>
      <c r="AL48" s="56"/>
      <c r="AM48" s="56"/>
      <c r="AN48" s="56"/>
      <c r="AO48" s="51"/>
      <c r="AP48" s="56"/>
      <c r="AQ48" s="56"/>
      <c r="AR48" s="50"/>
      <c r="AS48" s="50"/>
      <c r="AT48" s="50"/>
      <c r="AU48" s="50"/>
      <c r="AV48" s="54"/>
      <c r="AW48" s="66">
        <f>'Global (product)'!O44</f>
        <v>69.184074573412104</v>
      </c>
      <c r="AX48" s="66">
        <f>'South America (product)'!K44</f>
        <v>0</v>
      </c>
      <c r="AY48" s="66">
        <f>'Oceania (product)'!K44</f>
        <v>111.75706909610558</v>
      </c>
      <c r="AZ48" s="66">
        <f>'NAM (product)'!K44</f>
        <v>77.038996589883155</v>
      </c>
      <c r="BA48" s="61">
        <f>'Canada (product)'!K44</f>
        <v>99.766702607926504</v>
      </c>
      <c r="BB48" s="66">
        <f>'Europe (product)'!K44</f>
        <v>112.363591643188</v>
      </c>
      <c r="BC48" s="66">
        <f>'GCC (product)'!K44</f>
        <v>0</v>
      </c>
      <c r="BD48" s="66">
        <f>'Russia and Other Euro (product)'!K44</f>
        <v>44.293769931318053</v>
      </c>
      <c r="BE48" s="66">
        <f>'Africa (product)'!K44</f>
        <v>0</v>
      </c>
      <c r="BF48" s="66">
        <f>'Other Asia (product)'!K44</f>
        <v>343.32157350844091</v>
      </c>
      <c r="BG48" s="66" t="s">
        <v>100</v>
      </c>
      <c r="BI48" s="67"/>
    </row>
    <row r="49" spans="1:61" ht="16">
      <c r="A49" s="47" t="s">
        <v>133</v>
      </c>
      <c r="B49" s="9" t="s">
        <v>132</v>
      </c>
      <c r="C49" s="68">
        <f>'Global (product)'!$C$45*C11</f>
        <v>407.10586931511784</v>
      </c>
      <c r="D49" s="68">
        <f>'South America (product)'!C45*$D$11</f>
        <v>802.98555666959396</v>
      </c>
      <c r="E49" s="68">
        <f>'Oceania (product)'!C45*$E$11</f>
        <v>338.57213731852215</v>
      </c>
      <c r="F49" s="68" t="s">
        <v>100</v>
      </c>
      <c r="G49" s="68" t="s">
        <v>100</v>
      </c>
      <c r="H49" s="68" t="s">
        <v>100</v>
      </c>
      <c r="I49" s="68" t="s">
        <v>100</v>
      </c>
      <c r="J49" s="68" t="s">
        <v>100</v>
      </c>
      <c r="K49" s="68" t="s">
        <v>100</v>
      </c>
      <c r="L49" s="68" t="s">
        <v>100</v>
      </c>
      <c r="M49" s="52"/>
      <c r="N49" s="66">
        <f>'Global (product)'!E45*$N$11</f>
        <v>13.397291630516843</v>
      </c>
      <c r="O49" s="66">
        <f>'South America (product)'!$E45*$N$11</f>
        <v>10.263467488904604</v>
      </c>
      <c r="P49" s="66">
        <f>'Oceania (product)'!E45*$N$11</f>
        <v>27.576254796998601</v>
      </c>
      <c r="Q49" s="66">
        <f>'NAM (product)'!E45*$N$11</f>
        <v>0</v>
      </c>
      <c r="R49" s="66">
        <f>'Europe (product)'!$E45*$N$11</f>
        <v>22.468899459599125</v>
      </c>
      <c r="S49" s="66">
        <f>'Russia and Other Euro (product)'!$E45*$S$11</f>
        <v>0</v>
      </c>
      <c r="T49" s="69">
        <f>'GCC (product)'!E45*$T$11</f>
        <v>0</v>
      </c>
      <c r="U49" s="77" t="s">
        <v>100</v>
      </c>
      <c r="V49" s="69">
        <f>'Other Asia (product)'!E45*$V$11</f>
        <v>5.3981944349756006</v>
      </c>
      <c r="W49" s="69">
        <f>'China (product)'!E45*$W$11</f>
        <v>10.231072522757758</v>
      </c>
      <c r="X49" s="54"/>
      <c r="Y49" s="66">
        <f>(((IFERROR('Global (product)'!G45*'Global (product)'!$L$5,0))+(IFERROR('Global (product)'!I45*'Global (product)'!$L$4,0)))*$Y$11)</f>
        <v>3.4375248140878734</v>
      </c>
      <c r="Z49" s="66">
        <f>'South America (product)'!G45*$Z$11</f>
        <v>0</v>
      </c>
      <c r="AA49" s="66">
        <f>'Oceania (product)'!G45*$AA$11</f>
        <v>6.5522852420166489</v>
      </c>
      <c r="AB49" s="66">
        <f>'NAM (product)'!G45*$AB$11</f>
        <v>16.603823381116541</v>
      </c>
      <c r="AC49" s="247">
        <f>'Canada (product)'!G45*$AC$11</f>
        <v>19.196616284879955</v>
      </c>
      <c r="AD49" s="66">
        <f>'Europe (product)'!G45*$AD$11</f>
        <v>7.8433745895301135</v>
      </c>
      <c r="AE49" s="66">
        <f>'GCC (product)'!G45*$AE$11</f>
        <v>0</v>
      </c>
      <c r="AF49" s="66">
        <f>'Russia and Other Euro (product)'!G45*$AF$11</f>
        <v>2.0559051355346805</v>
      </c>
      <c r="AG49" s="66">
        <f>'Africa (product)'!G45*$AG$11</f>
        <v>0</v>
      </c>
      <c r="AH49" s="66">
        <f>'Other Asia (product)'!G45*$AH$11</f>
        <v>0</v>
      </c>
      <c r="AI49" s="77" t="s">
        <v>100</v>
      </c>
      <c r="AJ49" s="54"/>
      <c r="AK49" s="50"/>
      <c r="AL49" s="56"/>
      <c r="AM49" s="56"/>
      <c r="AN49" s="56"/>
      <c r="AO49" s="51"/>
      <c r="AP49" s="56"/>
      <c r="AQ49" s="56"/>
      <c r="AR49" s="50"/>
      <c r="AS49" s="50"/>
      <c r="AT49" s="50"/>
      <c r="AU49" s="50"/>
      <c r="AV49" s="54"/>
      <c r="AW49" s="66">
        <f>'Global (product)'!O45</f>
        <v>3.8375512925073201</v>
      </c>
      <c r="AX49" s="66">
        <f>'South America (product)'!K45</f>
        <v>4.9207353133146743</v>
      </c>
      <c r="AY49" s="66">
        <f>'Oceania (product)'!K45</f>
        <v>8.9741838005702963</v>
      </c>
      <c r="AZ49" s="66">
        <f>'NAM (product)'!K45</f>
        <v>14.036019152752651</v>
      </c>
      <c r="BA49" s="61">
        <f>'Canada (product)'!K45</f>
        <v>11.922299719634101</v>
      </c>
      <c r="BB49" s="66">
        <f>'Europe (product)'!K45</f>
        <v>1.8244528333097201</v>
      </c>
      <c r="BC49" s="66">
        <f>'GCC (product)'!K45</f>
        <v>0</v>
      </c>
      <c r="BD49" s="66">
        <f>'Russia and Other Euro (product)'!K45</f>
        <v>2.3181712309154419</v>
      </c>
      <c r="BE49" s="66">
        <f>'Africa (product)'!K45</f>
        <v>0</v>
      </c>
      <c r="BF49" s="66">
        <f>'Other Asia (product)'!K45</f>
        <v>0</v>
      </c>
      <c r="BG49" s="66" t="s">
        <v>100</v>
      </c>
      <c r="BI49" s="67"/>
    </row>
    <row r="50" spans="1:61" ht="16">
      <c r="A50" s="47" t="s">
        <v>134</v>
      </c>
      <c r="B50" s="9" t="s">
        <v>132</v>
      </c>
      <c r="C50" s="68">
        <f>'Global (product)'!$C$46*C11</f>
        <v>5.6413894138595833</v>
      </c>
      <c r="D50" s="68">
        <f>'South America (product)'!C46*$D$11</f>
        <v>0</v>
      </c>
      <c r="E50" s="68">
        <f>'Oceania (product)'!C46*$E$11</f>
        <v>0.56323286283766705</v>
      </c>
      <c r="F50" s="68" t="s">
        <v>100</v>
      </c>
      <c r="G50" s="68" t="s">
        <v>100</v>
      </c>
      <c r="H50" s="68" t="s">
        <v>100</v>
      </c>
      <c r="I50" s="68" t="s">
        <v>100</v>
      </c>
      <c r="J50" s="68" t="s">
        <v>100</v>
      </c>
      <c r="K50" s="68" t="s">
        <v>100</v>
      </c>
      <c r="L50" s="68" t="s">
        <v>100</v>
      </c>
      <c r="M50" s="52"/>
      <c r="N50" s="66">
        <f>'Global (product)'!E46*$N$11</f>
        <v>4734.083045481927</v>
      </c>
      <c r="O50" s="66">
        <f>'South America (product)'!$E46*$N$11</f>
        <v>1178.3278404993425</v>
      </c>
      <c r="P50" s="66">
        <f>'Oceania (product)'!E46*$N$11</f>
        <v>12303.980948114444</v>
      </c>
      <c r="Q50" s="66">
        <f>'NAM (product)'!E46*$N$11</f>
        <v>7837.036815727055</v>
      </c>
      <c r="R50" s="66">
        <f>'Europe (product)'!$E46*$N$11</f>
        <v>18574.340490512051</v>
      </c>
      <c r="S50" s="66">
        <f>'Russia and Other Euro (product)'!$E46*$S$11</f>
        <v>27490.053297520029</v>
      </c>
      <c r="T50" s="69">
        <f>'GCC (product)'!E46*$T$11</f>
        <v>16352.003635400701</v>
      </c>
      <c r="U50" s="77" t="s">
        <v>100</v>
      </c>
      <c r="V50" s="69">
        <f>'Other Asia (product)'!E46*$V$11</f>
        <v>420.2895522758987</v>
      </c>
      <c r="W50" s="69">
        <f>'China (product)'!E46*$W$11</f>
        <v>565.82939840149254</v>
      </c>
      <c r="X50" s="54"/>
      <c r="Y50" s="66">
        <f>(((IFERROR('Global (product)'!G46*'Global (product)'!$L$5,0))+(IFERROR('Global (product)'!I46*'Global (product)'!$L$4,0)))*$Y$11)</f>
        <v>1003.172507027298</v>
      </c>
      <c r="Z50" s="66">
        <f>'South America (product)'!G46*$Z$11</f>
        <v>672.3461485934854</v>
      </c>
      <c r="AA50" s="66">
        <f>'Oceania (product)'!G46*$AA$11</f>
        <v>1120.8013532605798</v>
      </c>
      <c r="AB50" s="66">
        <f>'NAM (product)'!G46*$AB$11</f>
        <v>1275.1651234694955</v>
      </c>
      <c r="AC50" s="247">
        <f>'Canada (product)'!G46*$AC$11</f>
        <v>1217.7388002744153</v>
      </c>
      <c r="AD50" s="66">
        <f>'Europe (product)'!G46*$AD$11</f>
        <v>247.75387707687324</v>
      </c>
      <c r="AE50" s="66">
        <f>'GCC (product)'!G46*$AE$11</f>
        <v>1466.1068806518329</v>
      </c>
      <c r="AF50" s="66">
        <f>'Russia and Other Euro (product)'!G46*$AF$11</f>
        <v>144.98021435580452</v>
      </c>
      <c r="AG50" s="66">
        <f>'Africa (product)'!G46*$AG$11</f>
        <v>2126.3603381920834</v>
      </c>
      <c r="AH50" s="66">
        <f>'Other Asia (product)'!G46*$AH$11</f>
        <v>54.694593888241741</v>
      </c>
      <c r="AI50" s="77" t="s">
        <v>100</v>
      </c>
      <c r="AJ50" s="54"/>
      <c r="AK50" s="50"/>
      <c r="AL50" s="56"/>
      <c r="AM50" s="56"/>
      <c r="AN50" s="56"/>
      <c r="AO50" s="51"/>
      <c r="AP50" s="56"/>
      <c r="AQ50" s="56"/>
      <c r="AR50" s="50"/>
      <c r="AS50" s="50"/>
      <c r="AT50" s="50"/>
      <c r="AU50" s="50"/>
      <c r="AV50" s="54"/>
      <c r="AW50" s="66">
        <f>'Global (product)'!O46</f>
        <v>743.89370806944203</v>
      </c>
      <c r="AX50" s="66">
        <f>'South America (product)'!K46</f>
        <v>985.28453214474916</v>
      </c>
      <c r="AY50" s="66">
        <f>'Oceania (product)'!K46</f>
        <v>485.94780790971635</v>
      </c>
      <c r="AZ50" s="66">
        <f>'NAM (product)'!K46</f>
        <v>882.80044253707501</v>
      </c>
      <c r="BA50" s="61">
        <f>'Canada (product)'!K46</f>
        <v>401.54304373486599</v>
      </c>
      <c r="BB50" s="66">
        <f>'Europe (product)'!K46</f>
        <v>407.65696775367797</v>
      </c>
      <c r="BC50" s="66">
        <f>'GCC (product)'!K46</f>
        <v>1441.14405947459</v>
      </c>
      <c r="BD50" s="66">
        <f>'Russia and Other Euro (product)'!K46</f>
        <v>243.51722033756107</v>
      </c>
      <c r="BE50" s="66">
        <f>'Africa (product)'!K46</f>
        <v>746.80285782781584</v>
      </c>
      <c r="BF50" s="66">
        <f>'Other Asia (product)'!K46</f>
        <v>137.02961168527119</v>
      </c>
      <c r="BG50" s="66" t="s">
        <v>100</v>
      </c>
      <c r="BI50" s="67"/>
    </row>
    <row r="51" spans="1:61" ht="16">
      <c r="A51" s="47" t="s">
        <v>135</v>
      </c>
      <c r="B51" s="9" t="s">
        <v>132</v>
      </c>
      <c r="C51" s="68">
        <f>'Global (product)'!$C$47*C11</f>
        <v>112.49277017424717</v>
      </c>
      <c r="D51" s="68">
        <f>'South America (product)'!C47*$D$11</f>
        <v>0</v>
      </c>
      <c r="E51" s="68">
        <f>'Oceania (product)'!C47*$E$11</f>
        <v>138.70014180965845</v>
      </c>
      <c r="F51" s="68" t="s">
        <v>100</v>
      </c>
      <c r="G51" s="68" t="s">
        <v>100</v>
      </c>
      <c r="H51" s="68" t="s">
        <v>100</v>
      </c>
      <c r="I51" s="68" t="s">
        <v>100</v>
      </c>
      <c r="J51" s="68" t="s">
        <v>100</v>
      </c>
      <c r="K51" s="68" t="s">
        <v>100</v>
      </c>
      <c r="L51" s="68" t="s">
        <v>100</v>
      </c>
      <c r="M51" s="52"/>
      <c r="N51" s="66">
        <f>'Global (product)'!E47*$N$11</f>
        <v>12255.005461063607</v>
      </c>
      <c r="O51" s="66">
        <f>'South America (product)'!$E47*$N$11</f>
        <v>5554.679623870813</v>
      </c>
      <c r="P51" s="66">
        <f>'Oceania (product)'!E47*$N$11</f>
        <v>5950.2857422827856</v>
      </c>
      <c r="Q51" s="66">
        <f>'NAM (product)'!E47*$N$11</f>
        <v>0</v>
      </c>
      <c r="R51" s="66">
        <f>'Europe (product)'!$E47*$N$11</f>
        <v>0</v>
      </c>
      <c r="S51" s="66">
        <f>'Russia and Other Euro (product)'!$E47*$S$11</f>
        <v>0</v>
      </c>
      <c r="T51" s="69">
        <f>'GCC (product)'!E47*$T$11</f>
        <v>0</v>
      </c>
      <c r="U51" s="77" t="s">
        <v>100</v>
      </c>
      <c r="V51" s="69">
        <f>'Other Asia (product)'!E47*$V$11</f>
        <v>12715.750707767818</v>
      </c>
      <c r="W51" s="69">
        <f>'China (product)'!E47*$W$11</f>
        <v>16942.656097686846</v>
      </c>
      <c r="X51" s="54"/>
      <c r="Y51" s="66">
        <f>(((IFERROR('Global (product)'!G47*'Global (product)'!$L$5,0))+(IFERROR('Global (product)'!I47*'Global (product)'!$L$4,0)))*$Y$11)</f>
        <v>0</v>
      </c>
      <c r="Z51" s="66">
        <f>'South America (product)'!G47*$Z$11</f>
        <v>0</v>
      </c>
      <c r="AA51" s="66">
        <f>'Oceania (product)'!G47*$AA$11</f>
        <v>0</v>
      </c>
      <c r="AB51" s="66">
        <f>'NAM (product)'!G47*$AB$11</f>
        <v>0</v>
      </c>
      <c r="AC51" s="247">
        <f>'Canada (product)'!G47*$AC$11</f>
        <v>0</v>
      </c>
      <c r="AD51" s="66">
        <f>'Europe (product)'!G47*$AD$11</f>
        <v>0</v>
      </c>
      <c r="AE51" s="66">
        <f>'GCC (product)'!G47*$AE$11</f>
        <v>0</v>
      </c>
      <c r="AF51" s="66">
        <f>'Russia and Other Euro (product)'!G47*$AF$11</f>
        <v>0</v>
      </c>
      <c r="AG51" s="66">
        <f>'Africa (product)'!G47*$AG$11</f>
        <v>0</v>
      </c>
      <c r="AH51" s="66">
        <f>'Other Asia (product)'!G47*$AH$11</f>
        <v>0</v>
      </c>
      <c r="AI51" s="77" t="s">
        <v>100</v>
      </c>
      <c r="AJ51" s="54"/>
      <c r="AK51" s="50"/>
      <c r="AL51" s="56"/>
      <c r="AM51" s="56"/>
      <c r="AN51" s="56"/>
      <c r="AO51" s="51"/>
      <c r="AP51" s="56"/>
      <c r="AQ51" s="56"/>
      <c r="AR51" s="50"/>
      <c r="AS51" s="50"/>
      <c r="AT51" s="50"/>
      <c r="AU51" s="50"/>
      <c r="AV51" s="54"/>
      <c r="AW51" s="66">
        <f>'Global (product)'!O47</f>
        <v>0</v>
      </c>
      <c r="AX51" s="66">
        <f>'South America (product)'!K47</f>
        <v>0</v>
      </c>
      <c r="AY51" s="66">
        <f>'Oceania (product)'!K47</f>
        <v>0</v>
      </c>
      <c r="AZ51" s="66">
        <f>'NAM (product)'!K47</f>
        <v>0</v>
      </c>
      <c r="BA51" s="61">
        <f>'Canada (product)'!K47</f>
        <v>0</v>
      </c>
      <c r="BB51" s="66">
        <f>'Europe (product)'!K47</f>
        <v>0</v>
      </c>
      <c r="BC51" s="66">
        <f>'GCC (product)'!K47</f>
        <v>0</v>
      </c>
      <c r="BD51" s="66">
        <f>'Russia and Other Euro (product)'!K47</f>
        <v>0</v>
      </c>
      <c r="BE51" s="66">
        <f>'Africa (product)'!K47</f>
        <v>0</v>
      </c>
      <c r="BF51" s="66">
        <f>'Other Asia (product)'!K47</f>
        <v>0</v>
      </c>
      <c r="BG51" s="66" t="s">
        <v>100</v>
      </c>
      <c r="BI51" s="67"/>
    </row>
    <row r="52" spans="1:61" ht="16">
      <c r="A52" s="47" t="s">
        <v>136</v>
      </c>
      <c r="B52" s="9" t="s">
        <v>132</v>
      </c>
      <c r="C52" s="68">
        <f>'Global (product)'!$C$48*C11</f>
        <v>117.84912783432496</v>
      </c>
      <c r="D52" s="68">
        <f>'South America (product)'!C48*$D$11</f>
        <v>18.655691457934708</v>
      </c>
      <c r="E52" s="68">
        <f>'Oceania (product)'!C48*$E$11</f>
        <v>46.651461724764943</v>
      </c>
      <c r="F52" s="68" t="s">
        <v>100</v>
      </c>
      <c r="G52" s="68" t="s">
        <v>100</v>
      </c>
      <c r="H52" s="68" t="s">
        <v>100</v>
      </c>
      <c r="I52" s="68" t="s">
        <v>100</v>
      </c>
      <c r="J52" s="68" t="s">
        <v>100</v>
      </c>
      <c r="K52" s="68" t="s">
        <v>100</v>
      </c>
      <c r="L52" s="68" t="s">
        <v>100</v>
      </c>
      <c r="M52" s="52"/>
      <c r="N52" s="66">
        <f>'Global (product)'!E48*$N$11</f>
        <v>1044.8145378228473</v>
      </c>
      <c r="O52" s="66">
        <f>'South America (product)'!$E48*$N$11</f>
        <v>763.13653778852984</v>
      </c>
      <c r="P52" s="66">
        <f>'Oceania (product)'!E48*$N$11</f>
        <v>586.05949029683723</v>
      </c>
      <c r="Q52" s="66">
        <f>'NAM (product)'!E48*$N$11</f>
        <v>4275.8398996036622</v>
      </c>
      <c r="R52" s="66">
        <f>'Europe (product)'!$E48*$N$11</f>
        <v>1048.9280990348987</v>
      </c>
      <c r="S52" s="66">
        <f>'Russia and Other Euro (product)'!$E48*$S$11</f>
        <v>921.27548703994012</v>
      </c>
      <c r="T52" s="69">
        <f>'GCC (product)'!E48*$T$11</f>
        <v>3378.1012810833654</v>
      </c>
      <c r="U52" s="77" t="s">
        <v>100</v>
      </c>
      <c r="V52" s="69">
        <f>'Other Asia (product)'!E48*$V$11</f>
        <v>141.78256716867446</v>
      </c>
      <c r="W52" s="69">
        <f>'China (product)'!E48*$W$11</f>
        <v>1130.1810206608427</v>
      </c>
      <c r="X52" s="54"/>
      <c r="Y52" s="66">
        <f>(((IFERROR('Global (product)'!G48*'Global (product)'!$L$5,0))+(IFERROR('Global (product)'!I48*'Global (product)'!$L$4,0)))*$Y$11)</f>
        <v>231.49632914261275</v>
      </c>
      <c r="Z52" s="66">
        <f>'South America (product)'!G48*$Z$11</f>
        <v>317.21581209961124</v>
      </c>
      <c r="AA52" s="66">
        <f>'Oceania (product)'!G48*$AA$11</f>
        <v>140.49406596438246</v>
      </c>
      <c r="AB52" s="66">
        <f>'NAM (product)'!G48*$AB$11</f>
        <v>595.32658300926346</v>
      </c>
      <c r="AC52" s="247">
        <f>'Canada (product)'!G48*$AC$11</f>
        <v>118.0939110487048</v>
      </c>
      <c r="AD52" s="66">
        <f>'Europe (product)'!G48*$AD$11</f>
        <v>126.69612809156921</v>
      </c>
      <c r="AE52" s="66">
        <f>'GCC (product)'!G48*$AE$11</f>
        <v>46.450434195809294</v>
      </c>
      <c r="AF52" s="66">
        <f>'Russia and Other Euro (product)'!G48*$AF$11</f>
        <v>284.73911199002748</v>
      </c>
      <c r="AG52" s="66">
        <f>'Africa (product)'!G48*$AG$11</f>
        <v>331.77184786377251</v>
      </c>
      <c r="AH52" s="66">
        <f>'Other Asia (product)'!G48*$AH$11</f>
        <v>380.41490290802614</v>
      </c>
      <c r="AI52" s="77" t="s">
        <v>100</v>
      </c>
      <c r="AJ52" s="54"/>
      <c r="AK52" s="66">
        <f>(((IFERROR('Global (product)'!K48*'Global (product)'!$L$5,0))+(IFERROR('Global (product)'!M48*'Global (product)'!$L$4,0))))</f>
        <v>51437.17310440127</v>
      </c>
      <c r="AL52" s="66">
        <f>'South America (product)'!I48</f>
        <v>55834.993664547117</v>
      </c>
      <c r="AM52" s="66">
        <f>'Oceania (product)'!I48</f>
        <v>52204.572179233008</v>
      </c>
      <c r="AN52" s="66">
        <f>'NAM (product)'!I48</f>
        <v>53846.229900886479</v>
      </c>
      <c r="AO52" s="247">
        <f>'Canada (product)'!I48</f>
        <v>53238.513411042397</v>
      </c>
      <c r="AP52" s="66">
        <f>'Europe (product)'!I48</f>
        <v>53506.218997198965</v>
      </c>
      <c r="AQ52" s="66">
        <f>'GCC (product)'!I48</f>
        <v>54453.655598304598</v>
      </c>
      <c r="AR52" s="66">
        <f>'Russia and Other Euro (product)'!I48</f>
        <v>57551.541136759035</v>
      </c>
      <c r="AS52" s="69">
        <f>'Africa (product)'!I48</f>
        <v>52296.453314533137</v>
      </c>
      <c r="AT52" s="69">
        <f>'Other Asia (product)'!I48</f>
        <v>53639.861787991329</v>
      </c>
      <c r="AU52" s="69">
        <f>'China (product)'!I48</f>
        <v>49201.100192595899</v>
      </c>
      <c r="AV52" s="54"/>
      <c r="AW52" s="66">
        <f>'Global (product)'!O48</f>
        <v>392.94391564343101</v>
      </c>
      <c r="AX52" s="66">
        <f>'South America (product)'!K48</f>
        <v>400.47556938112666</v>
      </c>
      <c r="AY52" s="66">
        <f>'Oceania (product)'!K48</f>
        <v>300.555428522309</v>
      </c>
      <c r="AZ52" s="66">
        <f>'NAM (product)'!K48</f>
        <v>574.83923345036214</v>
      </c>
      <c r="BA52" s="61">
        <f>'Canada (product)'!K48</f>
        <v>154.09633481509201</v>
      </c>
      <c r="BB52" s="66">
        <f>'Europe (product)'!K48</f>
        <v>387.37819929510403</v>
      </c>
      <c r="BC52" s="66">
        <f>'GCC (product)'!K48</f>
        <v>277.47808921289197</v>
      </c>
      <c r="BD52" s="66">
        <f>'Russia and Other Euro (product)'!K48</f>
        <v>391.78313854072809</v>
      </c>
      <c r="BE52" s="66">
        <f>'Africa (product)'!K48</f>
        <v>203.61549563572919</v>
      </c>
      <c r="BF52" s="66">
        <f>'Other Asia (product)'!K48</f>
        <v>710.36379817818352</v>
      </c>
      <c r="BG52" s="66" t="s">
        <v>100</v>
      </c>
      <c r="BI52" s="67"/>
    </row>
    <row r="53" spans="1:61" ht="16">
      <c r="A53" s="47" t="s">
        <v>137</v>
      </c>
      <c r="B53" s="9" t="s">
        <v>132</v>
      </c>
      <c r="C53" s="68">
        <f>'Global (product)'!$C$48*C12</f>
        <v>0</v>
      </c>
      <c r="D53" s="68">
        <f>'South America (product)'!C49*$D$11</f>
        <v>0</v>
      </c>
      <c r="E53" s="68">
        <f>'Oceania (product)'!C49*$E$11</f>
        <v>3.3999421178775649E-2</v>
      </c>
      <c r="F53" s="68"/>
      <c r="G53" s="68"/>
      <c r="H53" s="68"/>
      <c r="I53" s="68"/>
      <c r="J53" s="68"/>
      <c r="K53" s="68"/>
      <c r="L53" s="68"/>
      <c r="M53" s="52"/>
      <c r="N53" s="66">
        <f>'Global (product)'!E49*$N$11</f>
        <v>321.47281106180424</v>
      </c>
      <c r="O53" s="66">
        <f>'South America (product)'!$E49*$N$11</f>
        <v>0</v>
      </c>
      <c r="P53" s="66">
        <f>'Oceania (product)'!E49*$N$11</f>
        <v>1228.3914681246663</v>
      </c>
      <c r="Q53" s="66">
        <f>'NAM (product)'!E49*$N$11</f>
        <v>1918.858514207571</v>
      </c>
      <c r="R53" s="66">
        <f>'Europe (product)'!$E49*$N$11</f>
        <v>64.830771861637899</v>
      </c>
      <c r="S53" s="66">
        <f>'Russia and Other Euro (product)'!$E49*$S$11</f>
        <v>4.5057690897484539</v>
      </c>
      <c r="T53" s="69">
        <f>'GCC (product)'!E49*$T$11</f>
        <v>0</v>
      </c>
      <c r="U53" s="77" t="s">
        <v>100</v>
      </c>
      <c r="V53" s="69">
        <f>'Other Asia (product)'!E49*$V$11</f>
        <v>2386.4070292923116</v>
      </c>
      <c r="W53" s="69">
        <f>'China (product)'!E49*$W$11</f>
        <v>12.634082778501655</v>
      </c>
      <c r="X53" s="54"/>
      <c r="Y53" s="66">
        <f>(((IFERROR('Global (product)'!G49*'Global (product)'!$L$5,0))+(IFERROR('Global (product)'!I49*'Global (product)'!$L$4,0)))*$Y$11)</f>
        <v>55.425611367415982</v>
      </c>
      <c r="Z53" s="66">
        <f>'South America (product)'!G49*$Z$11</f>
        <v>0</v>
      </c>
      <c r="AA53" s="66">
        <f>'Oceania (product)'!G49*$AA$11</f>
        <v>0.46844499573729137</v>
      </c>
      <c r="AB53" s="66">
        <f>'NAM (product)'!G49*$AB$11</f>
        <v>5.012860349222886</v>
      </c>
      <c r="AC53" s="247">
        <f>'Canada (product)'!G49*$AC$11</f>
        <v>5.7956504598310046</v>
      </c>
      <c r="AD53" s="66">
        <f>'Europe (product)'!G49*$AD$11</f>
        <v>645.12228033640315</v>
      </c>
      <c r="AE53" s="66">
        <f>'GCC (product)'!G49*$AE$11</f>
        <v>0</v>
      </c>
      <c r="AF53" s="66">
        <f>'Russia and Other Euro (product)'!G49*$AF$11</f>
        <v>0</v>
      </c>
      <c r="AG53" s="66">
        <f>'Africa (product)'!G49*$AG$11</f>
        <v>0</v>
      </c>
      <c r="AH53" s="66">
        <f>'Other Asia (product)'!G49*$AH$11</f>
        <v>0</v>
      </c>
      <c r="AI53" s="77" t="s">
        <v>100</v>
      </c>
      <c r="AJ53" s="54"/>
      <c r="AK53" s="66"/>
      <c r="AL53" s="66"/>
      <c r="AM53" s="66"/>
      <c r="AN53" s="66"/>
      <c r="AO53" s="61"/>
      <c r="AP53" s="66"/>
      <c r="AQ53" s="66"/>
      <c r="AR53" s="66"/>
      <c r="AS53" s="69"/>
      <c r="AT53" s="69"/>
      <c r="AU53" s="69"/>
      <c r="AV53" s="54"/>
      <c r="AW53" s="66">
        <f>'Global (product)'!O49</f>
        <v>32.142607196956931</v>
      </c>
      <c r="AX53" s="66"/>
      <c r="AY53" s="66"/>
      <c r="AZ53" s="66"/>
      <c r="BA53" s="61"/>
      <c r="BB53" s="66"/>
      <c r="BC53" s="66"/>
      <c r="BD53" s="66"/>
      <c r="BE53" s="66"/>
      <c r="BF53" s="66"/>
      <c r="BG53" s="66"/>
      <c r="BI53" s="67"/>
    </row>
    <row r="54" spans="1:61">
      <c r="A54" s="47"/>
      <c r="B54" s="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2"/>
      <c r="N54" s="50"/>
      <c r="O54" s="50"/>
      <c r="P54" s="50"/>
      <c r="Q54" s="50"/>
      <c r="R54" s="50"/>
      <c r="S54" s="55"/>
      <c r="T54" s="55"/>
      <c r="U54" s="55"/>
      <c r="V54" s="55"/>
      <c r="W54" s="55"/>
      <c r="X54" s="54"/>
      <c r="Y54" s="50"/>
      <c r="Z54" s="50"/>
      <c r="AA54" s="50"/>
      <c r="AB54" s="50"/>
      <c r="AC54" s="161"/>
      <c r="AD54" s="50"/>
      <c r="AE54" s="50"/>
      <c r="AF54" s="50"/>
      <c r="AG54" s="50"/>
      <c r="AH54" s="50"/>
      <c r="AI54" s="77"/>
      <c r="AJ54" s="54"/>
      <c r="AK54" s="50"/>
      <c r="AL54" s="56"/>
      <c r="AM54" s="56"/>
      <c r="AN54" s="56"/>
      <c r="AO54" s="51"/>
      <c r="AP54" s="56"/>
      <c r="AQ54" s="56"/>
      <c r="AR54" s="50"/>
      <c r="AS54" s="50"/>
      <c r="AT54" s="50"/>
      <c r="AU54" s="50"/>
      <c r="AV54" s="54"/>
      <c r="AW54" s="50"/>
      <c r="AX54" s="50"/>
      <c r="AY54" s="50"/>
      <c r="AZ54" s="50"/>
      <c r="BA54" s="161"/>
      <c r="BB54" s="50"/>
      <c r="BC54" s="50"/>
      <c r="BD54" s="50"/>
      <c r="BE54" s="50"/>
      <c r="BF54" s="50"/>
      <c r="BG54" s="50"/>
      <c r="BI54" s="67"/>
    </row>
    <row r="55" spans="1:61">
      <c r="A55" s="45" t="s">
        <v>138</v>
      </c>
      <c r="B55" s="44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2"/>
      <c r="N55" s="50"/>
      <c r="O55" s="50"/>
      <c r="P55" s="50"/>
      <c r="Q55" s="50"/>
      <c r="R55" s="50"/>
      <c r="S55" s="55"/>
      <c r="T55" s="55"/>
      <c r="U55" s="55"/>
      <c r="V55" s="55"/>
      <c r="W55" s="55"/>
      <c r="X55" s="54"/>
      <c r="Y55" s="50"/>
      <c r="Z55" s="50"/>
      <c r="AA55" s="50"/>
      <c r="AB55" s="50"/>
      <c r="AC55" s="161"/>
      <c r="AD55" s="50"/>
      <c r="AE55" s="50"/>
      <c r="AF55" s="50"/>
      <c r="AG55" s="50"/>
      <c r="AH55" s="50"/>
      <c r="AI55" s="50"/>
      <c r="AJ55" s="54"/>
      <c r="AK55" s="50"/>
      <c r="AL55" s="56"/>
      <c r="AM55" s="56"/>
      <c r="AN55" s="56"/>
      <c r="AO55" s="51"/>
      <c r="AP55" s="56"/>
      <c r="AQ55" s="56"/>
      <c r="AR55" s="50"/>
      <c r="AS55" s="50"/>
      <c r="AT55" s="50"/>
      <c r="AU55" s="50"/>
      <c r="AV55" s="54"/>
      <c r="AW55" s="50"/>
      <c r="AX55" s="50"/>
      <c r="AY55" s="50"/>
      <c r="AZ55" s="50"/>
      <c r="BA55" s="161"/>
      <c r="BB55" s="50"/>
      <c r="BC55" s="50"/>
      <c r="BD55" s="50"/>
      <c r="BE55" s="50"/>
      <c r="BF55" s="50"/>
      <c r="BG55" s="50"/>
      <c r="BI55" s="67"/>
    </row>
    <row r="56" spans="1:61" ht="16">
      <c r="A56" s="47" t="s">
        <v>139</v>
      </c>
      <c r="B56" s="9" t="s">
        <v>104</v>
      </c>
      <c r="C56" s="65">
        <f>'Global (product)'!$C$52*$C$11</f>
        <v>0.90063700302286542</v>
      </c>
      <c r="D56" s="172">
        <f>'South America (product)'!C52*$D$11</f>
        <v>3.3859348508500859E-3</v>
      </c>
      <c r="E56" s="68">
        <f>'Oceania (product)'!C52*$E$11</f>
        <v>0.98920384826828855</v>
      </c>
      <c r="F56" s="68" t="s">
        <v>100</v>
      </c>
      <c r="G56" s="68" t="s">
        <v>100</v>
      </c>
      <c r="H56" s="68" t="s">
        <v>100</v>
      </c>
      <c r="I56" s="68" t="s">
        <v>100</v>
      </c>
      <c r="J56" s="68" t="s">
        <v>100</v>
      </c>
      <c r="K56" s="68" t="s">
        <v>100</v>
      </c>
      <c r="L56" s="68" t="s">
        <v>100</v>
      </c>
      <c r="M56" s="60"/>
      <c r="N56" s="63">
        <f>'Global (product)'!E52*$N$11</f>
        <v>0.73162916297411873</v>
      </c>
      <c r="O56" s="63">
        <f>'South America (product)'!$E52*$N$11</f>
        <v>0.2212634593394571</v>
      </c>
      <c r="P56" s="63">
        <f>'Oceania (product)'!$E52*$N$11</f>
        <v>1.0346355210259182</v>
      </c>
      <c r="Q56" s="63">
        <f>'NAM (product)'!$E52*$N$11</f>
        <v>9.1887341232964728E-2</v>
      </c>
      <c r="R56" s="63">
        <f>'Europe (product)'!$E52*$N$11</f>
        <v>5.0028263687972904E-2</v>
      </c>
      <c r="S56" s="77">
        <f>'Russia and Other Euro (product)'!E52*$S$11</f>
        <v>0.54391027698084526</v>
      </c>
      <c r="T56" s="77" t="s">
        <v>100</v>
      </c>
      <c r="U56" s="77" t="s">
        <v>100</v>
      </c>
      <c r="V56" s="77">
        <f>'Other Asia (product)'!E52*$V$11</f>
        <v>0.4593617398769872</v>
      </c>
      <c r="W56" s="77" t="s">
        <v>100</v>
      </c>
      <c r="X56" s="54"/>
      <c r="Y56" s="63">
        <f>(((IFERROR('Global (product)'!G52*'Global (product)'!$L$5,0))+(IFERROR('Global (product)'!I52*'Global (product)'!$L$4,0)))*$Y$11)</f>
        <v>0.12813567101295764</v>
      </c>
      <c r="Z56" s="56">
        <f>'South America (product)'!G52*$Z$11</f>
        <v>3.5850211286410055E-2</v>
      </c>
      <c r="AA56" s="56" t="str">
        <f>'Oceania (product)'!G52</f>
        <v>nd</v>
      </c>
      <c r="AB56" s="56">
        <f>'NAM (product)'!G52*$AB$11</f>
        <v>7.4259097662753029E-2</v>
      </c>
      <c r="AC56" s="249">
        <f>'Canada (product)'!G52*$AC$11</f>
        <v>4.4334714985671146E-2</v>
      </c>
      <c r="AD56" s="56">
        <f>'Europe (product)'!G52*$AD$11</f>
        <v>5.2701439314660155E-2</v>
      </c>
      <c r="AE56" s="63">
        <f>'GCC (product)'!G52*$AE$11</f>
        <v>0.19693388300080295</v>
      </c>
      <c r="AF56" s="66" t="str">
        <f>'Russia and Other Euro (product)'!G52</f>
        <v>nd</v>
      </c>
      <c r="AG56" s="63">
        <f>'Africa (product)'!G52*$AG$11</f>
        <v>0.57345295471458468</v>
      </c>
      <c r="AH56" s="63">
        <f>'Other Asia (product)'!G52*$AH$11</f>
        <v>0.11132261601720039</v>
      </c>
      <c r="AI56" s="77" t="s">
        <v>100</v>
      </c>
      <c r="AJ56" s="54"/>
      <c r="AK56" s="63">
        <f>(((IFERROR('Global (product)'!K52*'Global (product)'!$L$5,0))+(IFERROR('Global (product)'!M52*'Global (product)'!$L$4,0))))</f>
        <v>1.4859765912452976</v>
      </c>
      <c r="AL56" s="66">
        <f>'South America (product)'!I52</f>
        <v>1.9711344632849142</v>
      </c>
      <c r="AM56" s="66">
        <f>'Oceania (product)'!I52</f>
        <v>1.0565812888525246</v>
      </c>
      <c r="AN56" s="66">
        <f>'NAM (product)'!I52</f>
        <v>1.9527617211511898</v>
      </c>
      <c r="AO56" s="61">
        <f>'Canada (product)'!I52</f>
        <v>1.7450396594399018</v>
      </c>
      <c r="AP56" s="63">
        <f>'Europe (product)'!I52</f>
        <v>0.68157557491040299</v>
      </c>
      <c r="AQ56" s="63">
        <f>'GCC (product)'!I52</f>
        <v>0.77612996887899899</v>
      </c>
      <c r="AR56" s="69">
        <f>'Russia and Other Euro (product)'!I52</f>
        <v>3.8423461908432173</v>
      </c>
      <c r="AS56" s="77">
        <f>'Africa (product)'!I52</f>
        <v>0.43093775996717054</v>
      </c>
      <c r="AT56" s="69">
        <f>'Other Asia (product)'!I52</f>
        <v>3.0338463195045757</v>
      </c>
      <c r="AU56" s="77" t="s">
        <v>100</v>
      </c>
      <c r="AV56" s="54"/>
      <c r="AW56" s="56">
        <f>'Global (product)'!O52</f>
        <v>3.5587180332094771E-2</v>
      </c>
      <c r="AX56" s="56">
        <f>'South America (product)'!K52</f>
        <v>1.9164304316126556E-2</v>
      </c>
      <c r="AY56" s="66">
        <f>'Oceania (product)'!K52</f>
        <v>0</v>
      </c>
      <c r="AZ56" s="56">
        <f>'NAM (product)'!K52</f>
        <v>4.5621615901727509E-2</v>
      </c>
      <c r="BA56" s="51">
        <f>'Canada (product)'!K52</f>
        <v>3.5385407693370299E-2</v>
      </c>
      <c r="BB56" s="56">
        <f>'Europe (product)'!K52</f>
        <v>7.1820355704848196E-2</v>
      </c>
      <c r="BC56" s="72">
        <f>'GCC (product)'!K52</f>
        <v>4.6087178930046997E-3</v>
      </c>
      <c r="BD56" s="56" t="str">
        <f>'Russia and Other Euro (product)'!K52</f>
        <v>nd</v>
      </c>
      <c r="BE56" s="56">
        <f>'Africa (product)'!K52</f>
        <v>5.802786182293118E-3</v>
      </c>
      <c r="BF56" s="72">
        <f>'Other Asia (product)'!K52</f>
        <v>4.3464531388219896E-3</v>
      </c>
      <c r="BG56" s="56" t="s">
        <v>100</v>
      </c>
      <c r="BI56" s="67"/>
    </row>
    <row r="57" spans="1:61" ht="16">
      <c r="A57" s="47" t="s">
        <v>140</v>
      </c>
      <c r="B57" s="9" t="s">
        <v>104</v>
      </c>
      <c r="C57" s="172">
        <f>'Global (product)'!$C$53*$C$11</f>
        <v>6.7250377737281626E-4</v>
      </c>
      <c r="D57" s="172">
        <f>'South America (product)'!C53*$D$11</f>
        <v>2.9807802533124688E-3</v>
      </c>
      <c r="E57" s="231">
        <f>'Oceania (product)'!C53*$E$11</f>
        <v>9.0808367347210256E-5</v>
      </c>
      <c r="F57" s="68" t="s">
        <v>100</v>
      </c>
      <c r="G57" s="68" t="s">
        <v>100</v>
      </c>
      <c r="H57" s="68" t="s">
        <v>100</v>
      </c>
      <c r="I57" s="68" t="s">
        <v>100</v>
      </c>
      <c r="J57" s="68" t="s">
        <v>100</v>
      </c>
      <c r="K57" s="68" t="s">
        <v>100</v>
      </c>
      <c r="L57" s="68" t="s">
        <v>100</v>
      </c>
      <c r="M57" s="60"/>
      <c r="N57" s="63">
        <f>'Global (product)'!E53*$N$11</f>
        <v>1.3534151088162152</v>
      </c>
      <c r="O57" s="63">
        <f>'South America (product)'!$E53*$N$11</f>
        <v>3.4870233816344824</v>
      </c>
      <c r="P57" s="63">
        <f>'Oceania (product)'!$E53*$N$11</f>
        <v>1.4761658592063751</v>
      </c>
      <c r="Q57" s="72">
        <f>'NAM (product)'!$E53*$N$11</f>
        <v>9.5547775850141753E-4</v>
      </c>
      <c r="R57" s="56">
        <f>'Europe (product)'!$E53*$N$11</f>
        <v>2.2674053269389267E-2</v>
      </c>
      <c r="S57" s="83">
        <f>'Russia and Other Euro (product)'!E53*$S$11</f>
        <v>8.3304295191290699E-3</v>
      </c>
      <c r="T57" s="77" t="s">
        <v>100</v>
      </c>
      <c r="U57" s="77" t="s">
        <v>100</v>
      </c>
      <c r="V57" s="77">
        <f>'Other Asia (product)'!E53*$V$11</f>
        <v>0.82775425332434738</v>
      </c>
      <c r="W57" s="77" t="s">
        <v>100</v>
      </c>
      <c r="X57" s="54"/>
      <c r="Y57" s="63">
        <f>(((IFERROR('Global (product)'!G53*'Global (product)'!$L$5,0))+(IFERROR('Global (product)'!I53*'Global (product)'!$L$4,0)))*$Y$11)</f>
        <v>0.48976405558029273</v>
      </c>
      <c r="Z57" s="63">
        <f>'South America (product)'!G53*$Z$11</f>
        <v>0.51040472325769559</v>
      </c>
      <c r="AA57" s="56" t="str">
        <f>'Oceania (product)'!G53</f>
        <v>nd</v>
      </c>
      <c r="AB57" s="63">
        <f>'NAM (product)'!G53*$AB$11</f>
        <v>0.72047580241768283</v>
      </c>
      <c r="AC57" s="248">
        <f>'Canada (product)'!G53*$AC$11</f>
        <v>0.86801119568097151</v>
      </c>
      <c r="AD57" s="63">
        <f>'Europe (product)'!G53*$AD$11</f>
        <v>0.39746383908412003</v>
      </c>
      <c r="AE57" s="63">
        <f>'GCC (product)'!G53*$AE$11</f>
        <v>0.38834675393676593</v>
      </c>
      <c r="AF57" s="77" t="s">
        <v>100</v>
      </c>
      <c r="AG57" s="63">
        <f>'Africa (product)'!G53*$AG$11</f>
        <v>0.62649671291597098</v>
      </c>
      <c r="AH57" s="63">
        <f>'Other Asia (product)'!G53*$AH$11</f>
        <v>0.43712936156827481</v>
      </c>
      <c r="AI57" s="77" t="s">
        <v>100</v>
      </c>
      <c r="AJ57" s="54"/>
      <c r="AK57" s="63">
        <f>(((IFERROR('Global (product)'!K53*'Global (product)'!$L$5,0))+(IFERROR('Global (product)'!M53*'Global (product)'!$L$4,0))))</f>
        <v>12.400927964918369</v>
      </c>
      <c r="AL57" s="66">
        <f>'South America (product)'!I53</f>
        <v>11.058853715140776</v>
      </c>
      <c r="AM57" s="66">
        <f>'Oceania (product)'!I53</f>
        <v>20.388130583124589</v>
      </c>
      <c r="AN57" s="66">
        <f>'NAM (product)'!I53</f>
        <v>16.050508103390857</v>
      </c>
      <c r="AO57" s="247">
        <f>'Canada (product)'!I53</f>
        <v>15.9158913217024</v>
      </c>
      <c r="AP57" s="66">
        <f>'Europe (product)'!I53</f>
        <v>7.4083724461883076</v>
      </c>
      <c r="AQ57" s="66">
        <f>'GCC (product)'!I53</f>
        <v>11.5193420884166</v>
      </c>
      <c r="AR57" s="69">
        <f>'Russia and Other Euro (product)'!I53</f>
        <v>7.4570517192705212</v>
      </c>
      <c r="AS57" s="69">
        <f>'Africa (product)'!I53</f>
        <v>14.104018215270964</v>
      </c>
      <c r="AT57" s="69">
        <f>'Other Asia (product)'!I53</f>
        <v>14.352335568568185</v>
      </c>
      <c r="AU57" s="77" t="s">
        <v>100</v>
      </c>
      <c r="AV57" s="54"/>
      <c r="AW57" s="56">
        <f>'Global (product)'!O53</f>
        <v>1.1421011643605967E-2</v>
      </c>
      <c r="AX57" s="56">
        <f>'South America (product)'!K53</f>
        <v>1.7519927800232499E-2</v>
      </c>
      <c r="AY57" s="66">
        <f>'Oceania (product)'!K53</f>
        <v>0</v>
      </c>
      <c r="AZ57" s="72">
        <f>'NAM (product)'!K53</f>
        <v>6.8537960071615592E-4</v>
      </c>
      <c r="BA57" s="260">
        <f>'Canada (product)'!K53</f>
        <v>3.6624008679579038E-4</v>
      </c>
      <c r="BB57" s="56">
        <f>'Europe (product)'!K53</f>
        <v>3.3788562924760596E-2</v>
      </c>
      <c r="BC57" s="72">
        <f>'GCC (product)'!K53</f>
        <v>3.8889530577359134E-3</v>
      </c>
      <c r="BD57" s="56" t="str">
        <f>'Russia and Other Euro (product)'!K53</f>
        <v>nd</v>
      </c>
      <c r="BE57" s="107">
        <f>'Africa (product)'!K53</f>
        <v>2.7402045860828615E-4</v>
      </c>
      <c r="BF57" s="56" t="str">
        <f>'Other Asia (product)'!K53</f>
        <v>nd</v>
      </c>
      <c r="BG57" s="56" t="s">
        <v>100</v>
      </c>
      <c r="BI57" s="67"/>
    </row>
    <row r="58" spans="1:61" ht="17">
      <c r="A58" s="47" t="s">
        <v>141</v>
      </c>
      <c r="B58" s="9" t="s">
        <v>104</v>
      </c>
      <c r="C58" s="65">
        <f>'Global (product)'!$C$54*$C$11</f>
        <v>0.31328045457627457</v>
      </c>
      <c r="D58" s="65">
        <f>'South America (product)'!C54*$D$11</f>
        <v>0.50162599248186834</v>
      </c>
      <c r="E58" s="65">
        <f>'Oceania (product)'!C54*$E$11</f>
        <v>0.30775503213343908</v>
      </c>
      <c r="F58" s="68" t="s">
        <v>100</v>
      </c>
      <c r="G58" s="68" t="s">
        <v>100</v>
      </c>
      <c r="H58" s="68" t="s">
        <v>100</v>
      </c>
      <c r="I58" s="68" t="s">
        <v>100</v>
      </c>
      <c r="J58" s="68" t="s">
        <v>100</v>
      </c>
      <c r="K58" s="68" t="s">
        <v>100</v>
      </c>
      <c r="L58" s="68" t="s">
        <v>100</v>
      </c>
      <c r="M58" s="60"/>
      <c r="N58" s="63">
        <f>'Global (product)'!E54*$N$11</f>
        <v>1.2543974557847994</v>
      </c>
      <c r="O58" s="63">
        <f>'South America (product)'!$E54*$N$11</f>
        <v>1.9298150473751001</v>
      </c>
      <c r="P58" s="63">
        <f>'Oceania (product)'!$E54*$N$11</f>
        <v>1.5138396617746039</v>
      </c>
      <c r="Q58" s="63">
        <f>'NAM (product)'!$E54*$N$11</f>
        <v>0.29648012199004914</v>
      </c>
      <c r="R58" s="63">
        <f>'Europe (product)'!$E54*$N$11</f>
        <v>0.46791687930262976</v>
      </c>
      <c r="S58" s="77">
        <f>'Russia and Other Euro (product)'!E54*$S$11</f>
        <v>0.50291523705719232</v>
      </c>
      <c r="T58" s="77" t="s">
        <v>100</v>
      </c>
      <c r="U58" s="77" t="s">
        <v>100</v>
      </c>
      <c r="V58" s="77">
        <f>'Other Asia (product)'!E54*$V$11</f>
        <v>0.21438685606212263</v>
      </c>
      <c r="W58" s="77" t="s">
        <v>100</v>
      </c>
      <c r="X58" s="54"/>
      <c r="Y58" s="63">
        <f>(((IFERROR('Global (product)'!G54*'Global (product)'!$L$5,0))+(IFERROR('Global (product)'!I54*'Global (product)'!$L$4,0)))*$Y$11)</f>
        <v>0.17048583745434479</v>
      </c>
      <c r="Z58" s="63">
        <f>'South America (product)'!G54*$Z$11</f>
        <v>0.39190813993044488</v>
      </c>
      <c r="AA58" s="56" t="str">
        <f>'Oceania (product)'!G54</f>
        <v>nd</v>
      </c>
      <c r="AB58" s="56">
        <f>'NAM (product)'!G54*$AB$11</f>
        <v>6.2688945525686296E-2</v>
      </c>
      <c r="AC58" s="249">
        <f>'Canada (product)'!G54*$AC$11</f>
        <v>3.4375400987353338E-2</v>
      </c>
      <c r="AD58" s="63">
        <f>'Europe (product)'!G54*$AD$11</f>
        <v>0.16016903320870715</v>
      </c>
      <c r="AE58" s="63">
        <f>'GCC (product)'!G54*$AE$11</f>
        <v>0.12770886576747445</v>
      </c>
      <c r="AF58" s="77" t="s">
        <v>100</v>
      </c>
      <c r="AG58" s="63">
        <f>'Africa (product)'!G54*$AG$11</f>
        <v>1.3290669090341447</v>
      </c>
      <c r="AH58" s="63">
        <f>'Other Asia (product)'!G54*$AH$11</f>
        <v>8.5156022099457843E-2</v>
      </c>
      <c r="AI58" s="77" t="s">
        <v>100</v>
      </c>
      <c r="AJ58" s="54"/>
      <c r="AK58" s="63">
        <f>(((IFERROR('Global (product)'!K54*'Global (product)'!$L$5,0))+(IFERROR('Global (product)'!M54*'Global (product)'!$L$4,0))))</f>
        <v>0.55493569439336898</v>
      </c>
      <c r="AL58" s="66" t="str">
        <f>'South America (product)'!I54</f>
        <v>nd</v>
      </c>
      <c r="AM58" s="63">
        <f>'Oceania (product)'!I54</f>
        <v>0.62824859172199821</v>
      </c>
      <c r="AN58" s="66">
        <f>'NAM (product)'!I54</f>
        <v>5.2557169575141744E-3</v>
      </c>
      <c r="AO58" s="249">
        <f>'Canada (product)'!I54</f>
        <v>5.2557169575141701E-3</v>
      </c>
      <c r="AP58" s="63">
        <f>'Europe (product)'!I54</f>
        <v>0.67762414753248945</v>
      </c>
      <c r="AQ58" s="66" t="str">
        <f>'GCC (product)'!I54</f>
        <v>nd</v>
      </c>
      <c r="AR58" s="77">
        <f>'Russia and Other Euro (product)'!I54</f>
        <v>0.64906009330243053</v>
      </c>
      <c r="AS58" s="77" t="str">
        <f>'Africa (product)'!I54</f>
        <v>nd</v>
      </c>
      <c r="AT58" s="77" t="str">
        <f>'Other Asia (product)'!I54</f>
        <v>nd</v>
      </c>
      <c r="AU58" s="77" t="s">
        <v>100</v>
      </c>
      <c r="AV58" s="54"/>
      <c r="AW58" s="56">
        <f>'Global (product)'!O54</f>
        <v>0.1007400756452769</v>
      </c>
      <c r="AX58" s="56">
        <f>'South America (product)'!K54</f>
        <v>0.14586738905127233</v>
      </c>
      <c r="AY58" s="66">
        <f>'Oceania (product)'!K54</f>
        <v>0</v>
      </c>
      <c r="AZ58" s="56">
        <f>'NAM (product)'!K54</f>
        <v>5.3754045769657768E-2</v>
      </c>
      <c r="BA58" s="51">
        <f>'Canada (product)'!K54</f>
        <v>2.5775457412088372E-2</v>
      </c>
      <c r="BB58" s="56">
        <f>'Europe (product)'!K54</f>
        <v>0.2264828978648625</v>
      </c>
      <c r="BC58" s="56">
        <f>'GCC (product)'!K54</f>
        <v>1.3062200177894142E-2</v>
      </c>
      <c r="BD58" s="56" t="str">
        <f>'Russia and Other Euro (product)'!K54</f>
        <v>nd</v>
      </c>
      <c r="BE58" s="56">
        <f>'Africa (product)'!K54</f>
        <v>8.4623965158441283E-3</v>
      </c>
      <c r="BF58" s="56">
        <f>'Other Asia (product)'!K54</f>
        <v>6.6263353619007426E-2</v>
      </c>
      <c r="BG58" s="56" t="s">
        <v>100</v>
      </c>
      <c r="BI58" s="67"/>
    </row>
    <row r="59" spans="1:61" ht="16">
      <c r="A59" s="47" t="s">
        <v>142</v>
      </c>
      <c r="B59" s="9" t="s">
        <v>143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0"/>
      <c r="N59" s="63">
        <f>'Global (product)'!E55*$N$11</f>
        <v>0.23557872410597883</v>
      </c>
      <c r="O59" s="63">
        <f>'South America (product)'!$E55*$N$11</f>
        <v>0.22945025178100853</v>
      </c>
      <c r="P59" s="63">
        <f>'Oceania (product)'!$E55*$N$11</f>
        <v>0.27266484976753247</v>
      </c>
      <c r="Q59" s="66">
        <f>'NAM (product)'!E55*$N$11</f>
        <v>0</v>
      </c>
      <c r="R59" s="63" t="s">
        <v>100</v>
      </c>
      <c r="S59" s="63" t="s">
        <v>100</v>
      </c>
      <c r="T59" s="77" t="s">
        <v>100</v>
      </c>
      <c r="U59" s="77" t="s">
        <v>100</v>
      </c>
      <c r="V59" s="77" t="s">
        <v>100</v>
      </c>
      <c r="W59" s="77" t="s">
        <v>100</v>
      </c>
      <c r="X59" s="54"/>
      <c r="Y59" s="63"/>
      <c r="Z59" s="56"/>
      <c r="AA59" s="56"/>
      <c r="AB59" s="56"/>
      <c r="AC59" s="249"/>
      <c r="AD59" s="56"/>
      <c r="AE59" s="56"/>
      <c r="AF59" s="50"/>
      <c r="AG59" s="66"/>
      <c r="AH59" s="66"/>
      <c r="AI59" s="50"/>
      <c r="AJ59" s="54"/>
      <c r="AK59" s="50"/>
      <c r="AL59" s="56"/>
      <c r="AM59" s="66"/>
      <c r="AN59" s="56"/>
      <c r="AO59" s="51"/>
      <c r="AP59" s="66"/>
      <c r="AQ59" s="66"/>
      <c r="AR59" s="77"/>
      <c r="AS59" s="77"/>
      <c r="AT59" s="77"/>
      <c r="AU59" s="50"/>
      <c r="AV59" s="54"/>
      <c r="AW59" s="50"/>
      <c r="AX59" s="50"/>
      <c r="AY59" s="50"/>
      <c r="AZ59" s="50"/>
      <c r="BA59" s="161"/>
      <c r="BB59" s="50"/>
      <c r="BC59" s="50"/>
      <c r="BD59" s="50"/>
      <c r="BE59" s="50"/>
      <c r="BF59" s="50"/>
      <c r="BG59" s="50"/>
      <c r="BI59" s="67"/>
    </row>
    <row r="60" spans="1:61" ht="18" customHeight="1">
      <c r="A60" s="47" t="s">
        <v>144</v>
      </c>
      <c r="B60" s="9" t="s">
        <v>143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0"/>
      <c r="N60" s="56">
        <f>'Global (product)'!E56*$N$11</f>
        <v>2.6681576125113723E-2</v>
      </c>
      <c r="O60" s="56">
        <f>'South America (product)'!$E56*$N$11</f>
        <v>7.6321434102338808E-3</v>
      </c>
      <c r="P60" s="56">
        <f>'Oceania (product)'!$E56*$N$11</f>
        <v>3.55903399676048E-2</v>
      </c>
      <c r="Q60" s="66">
        <f>'NAM (product)'!E56*$N$11</f>
        <v>0</v>
      </c>
      <c r="R60" s="66">
        <f>'Europe (product)'!$E56*$N$11</f>
        <v>0</v>
      </c>
      <c r="S60" s="63" t="s">
        <v>100</v>
      </c>
      <c r="T60" s="77" t="s">
        <v>100</v>
      </c>
      <c r="U60" s="77" t="s">
        <v>100</v>
      </c>
      <c r="V60" s="77" t="s">
        <v>100</v>
      </c>
      <c r="W60" s="77" t="s">
        <v>100</v>
      </c>
      <c r="X60" s="54"/>
      <c r="Y60" s="56">
        <f>(((IFERROR('Global (product)'!G56*'Global (product)'!$L$5,0))+(IFERROR('Global (product)'!I56*'Global (product)'!$L$4,0)))*$Y$11)</f>
        <v>5.9578201327458828E-3</v>
      </c>
      <c r="Z60" s="66">
        <f>'South America (product)'!G56*$Z$11</f>
        <v>0</v>
      </c>
      <c r="AA60" s="56" t="str">
        <f>'Oceania (product)'!G56</f>
        <v>nd</v>
      </c>
      <c r="AB60" s="66">
        <f>'NAM (product)'!G56*$AB$11</f>
        <v>0</v>
      </c>
      <c r="AC60" s="247">
        <f>'Canada (product)'!G56*$AC$11</f>
        <v>0</v>
      </c>
      <c r="AD60" s="56">
        <f>'Europe (product)'!G56*$AD$11</f>
        <v>2.9038729476990943E-2</v>
      </c>
      <c r="AE60" s="66">
        <f>'GCC (product)'!G56*$AE$11</f>
        <v>0</v>
      </c>
      <c r="AF60" s="77" t="s">
        <v>100</v>
      </c>
      <c r="AG60" s="66">
        <f>'Africa (product)'!G56*$AG$11</f>
        <v>0</v>
      </c>
      <c r="AH60" s="66" t="str">
        <f>'Other Asia (product)'!G56</f>
        <v>nd</v>
      </c>
      <c r="AI60" s="77" t="s">
        <v>100</v>
      </c>
      <c r="AJ60" s="54"/>
      <c r="AK60" s="56">
        <f>(((IFERROR('Global (product)'!K56*'Global (product)'!$L$5,0))+(IFERROR('Global (product)'!M56*'Global (product)'!$L$4,0))))</f>
        <v>4.8543471553048875E-2</v>
      </c>
      <c r="AL60" s="72">
        <f>'South America (product)'!I56</f>
        <v>3.2635290942219209E-3</v>
      </c>
      <c r="AM60" s="56">
        <f>'Oceania (product)'!I56</f>
        <v>4.2556967465498557E-2</v>
      </c>
      <c r="AN60" s="56">
        <f>'NAM (product)'!I56</f>
        <v>4.9146490929926095E-2</v>
      </c>
      <c r="AO60" s="249">
        <f>'Canada (product)'!I56</f>
        <v>1.811584683576278E-2</v>
      </c>
      <c r="AP60" s="63">
        <f>'Europe (product)'!I56</f>
        <v>0.18308870196570304</v>
      </c>
      <c r="AQ60" s="72">
        <f>'GCC (product)'!I56</f>
        <v>4.7393293459374189E-3</v>
      </c>
      <c r="AR60" s="77" t="str">
        <f>'Russia and Other Euro (product)'!I56</f>
        <v>nd</v>
      </c>
      <c r="AS60" s="69">
        <f>'Africa (product)'!I56</f>
        <v>0</v>
      </c>
      <c r="AT60" s="77" t="str">
        <f>'Other Asia (product)'!I56</f>
        <v>nd</v>
      </c>
      <c r="AU60" s="50"/>
      <c r="AV60" s="54"/>
      <c r="AW60" s="63"/>
      <c r="AX60" s="50"/>
      <c r="AY60" s="50"/>
      <c r="AZ60" s="50"/>
      <c r="BA60" s="161"/>
      <c r="BB60" s="50"/>
      <c r="BC60" s="50"/>
      <c r="BD60" s="50"/>
      <c r="BE60" s="50"/>
      <c r="BF60" s="50"/>
      <c r="BG60" s="50"/>
      <c r="BI60" s="67"/>
    </row>
    <row r="61" spans="1:61" ht="16">
      <c r="A61" s="47" t="s">
        <v>145</v>
      </c>
      <c r="B61" s="9" t="s">
        <v>104</v>
      </c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2"/>
      <c r="N61" s="50"/>
      <c r="O61" s="50"/>
      <c r="P61" s="50"/>
      <c r="Q61" s="50"/>
      <c r="R61" s="50"/>
      <c r="S61" s="55"/>
      <c r="T61" s="55"/>
      <c r="U61" s="55"/>
      <c r="V61" s="55"/>
      <c r="W61" s="55"/>
      <c r="X61" s="54"/>
      <c r="Y61" s="72">
        <f>(((IFERROR('Global (product)'!G57*'Global (product)'!$L$5,0))+(IFERROR('Global (product)'!I57*'Global (product)'!$L$4,0)))*$Y$11)</f>
        <v>2.9268004192192555E-3</v>
      </c>
      <c r="Z61" s="72">
        <f>'South America (product)'!G57*$Z$11</f>
        <v>3.7133960149822102E-3</v>
      </c>
      <c r="AA61" s="56" t="str">
        <f>'Oceania (product)'!G57</f>
        <v>nd</v>
      </c>
      <c r="AB61" s="107">
        <f>'NAM (product)'!G57*$AB$11</f>
        <v>1.9237990952165068E-4</v>
      </c>
      <c r="AC61" s="251">
        <f>'Canada (product)'!G57*$AC$11</f>
        <v>2.1611680428377944E-4</v>
      </c>
      <c r="AD61" s="56">
        <f>'Europe (product)'!G57*$AD$11</f>
        <v>7.2405654791101483E-3</v>
      </c>
      <c r="AE61" s="107">
        <f>'GCC (product)'!G57*$AE$11</f>
        <v>1.6715833720773026E-4</v>
      </c>
      <c r="AF61" s="77" t="s">
        <v>100</v>
      </c>
      <c r="AG61" s="66" t="str">
        <f>'Africa (product)'!G57</f>
        <v>nd</v>
      </c>
      <c r="AH61" s="72">
        <f>'Other Asia (product)'!G57*$AH$11</f>
        <v>4.16015977184083E-3</v>
      </c>
      <c r="AI61" s="77" t="s">
        <v>100</v>
      </c>
      <c r="AJ61" s="54"/>
      <c r="AK61" s="63">
        <f>(((IFERROR('Global (product)'!K57*'Global (product)'!$L$5,0))+(IFERROR('Global (product)'!M57*'Global (product)'!$L$4,0))))</f>
        <v>0.2857896570715065</v>
      </c>
      <c r="AL61" s="63">
        <f>'South America (product)'!I57</f>
        <v>0.31834193047434045</v>
      </c>
      <c r="AM61" s="63">
        <f>'Oceania (product)'!I57</f>
        <v>0.27690642950503191</v>
      </c>
      <c r="AN61" s="63">
        <f>'NAM (product)'!I57</f>
        <v>0.40504066490565721</v>
      </c>
      <c r="AO61" s="248">
        <f>'Canada (product)'!I57</f>
        <v>0.38293745682969499</v>
      </c>
      <c r="AP61" s="63">
        <f>'Europe (product)'!I57</f>
        <v>0.13996869502030768</v>
      </c>
      <c r="AQ61" s="63">
        <f>'GCC (product)'!I57</f>
        <v>0.118547041330248</v>
      </c>
      <c r="AR61" s="69">
        <f>'Russia and Other Euro (product)'!I57</f>
        <v>0.97982819706353763</v>
      </c>
      <c r="AS61" s="77">
        <f>'Africa (product)'!I57</f>
        <v>0.58790387905318509</v>
      </c>
      <c r="AT61" s="83">
        <f>'Other Asia (product)'!I57</f>
        <v>7.9246594818688953E-2</v>
      </c>
      <c r="AU61" s="311">
        <f>'China (product)'!I57</f>
        <v>0.47</v>
      </c>
      <c r="AV61" s="54"/>
      <c r="AW61" s="50"/>
      <c r="AX61" s="50"/>
      <c r="AY61" s="50"/>
      <c r="AZ61" s="50"/>
      <c r="BA61" s="161"/>
      <c r="BB61" s="50"/>
      <c r="BC61" s="50"/>
      <c r="BD61" s="50"/>
      <c r="BE61" s="50"/>
      <c r="BF61" s="50"/>
      <c r="BG61" s="50"/>
      <c r="BI61" s="67"/>
    </row>
    <row r="62" spans="1:61" ht="16">
      <c r="A62" s="47" t="s">
        <v>146</v>
      </c>
      <c r="B62" s="9" t="s">
        <v>104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2"/>
      <c r="N62" s="50"/>
      <c r="O62" s="50"/>
      <c r="P62" s="50"/>
      <c r="Q62" s="50"/>
      <c r="R62" s="50"/>
      <c r="S62" s="55"/>
      <c r="T62" s="55"/>
      <c r="U62" s="55"/>
      <c r="V62" s="55"/>
      <c r="W62" s="55"/>
      <c r="X62" s="54"/>
      <c r="Y62" s="72">
        <f>(((IFERROR('Global (product)'!G58*'Global (product)'!$L$5,0))+(IFERROR('Global (product)'!I58*'Global (product)'!$L$4,0)))*$Y$11)</f>
        <v>9.1888911761026041E-3</v>
      </c>
      <c r="Z62" s="72">
        <f>'South America (product)'!G58*$Z$11</f>
        <v>6.4138603849675062E-3</v>
      </c>
      <c r="AA62" s="56" t="str">
        <f>'Oceania (product)'!G58</f>
        <v>nd</v>
      </c>
      <c r="AB62" s="72">
        <f>'NAM (product)'!G58*$AB$11</f>
        <v>4.3862554308844136E-3</v>
      </c>
      <c r="AC62" s="250">
        <f>'Canada (product)'!G58*$AC$11</f>
        <v>5.5637211076845347E-3</v>
      </c>
      <c r="AD62" s="56">
        <f>'Europe (product)'!G58*$AD$11</f>
        <v>6.869891778135016E-3</v>
      </c>
      <c r="AE62" s="56">
        <f>'GCC (product)'!G58*$AE$11</f>
        <v>1.6523197653753721E-2</v>
      </c>
      <c r="AF62" s="77" t="s">
        <v>100</v>
      </c>
      <c r="AG62" s="56">
        <f>'Africa (product)'!G58*$AG$11</f>
        <v>5.6614147932828466E-3</v>
      </c>
      <c r="AH62" s="72">
        <f>'Other Asia (product)'!G58*$AH$11</f>
        <v>5.0711337915104859E-3</v>
      </c>
      <c r="AI62" s="77" t="s">
        <v>100</v>
      </c>
      <c r="AJ62" s="54"/>
      <c r="AK62" s="63">
        <f>(((IFERROR('Global (product)'!K58*'Global (product)'!$L$5,0))+(IFERROR('Global (product)'!M58*'Global (product)'!$L$4,0))))</f>
        <v>0.35708741498577168</v>
      </c>
      <c r="AL62" s="63">
        <f>'South America (product)'!I58</f>
        <v>0.45922475860268142</v>
      </c>
      <c r="AM62" s="63">
        <f>'Oceania (product)'!I58</f>
        <v>0.65160023804203338</v>
      </c>
      <c r="AN62" s="63">
        <f>'NAM (product)'!I58</f>
        <v>0.34153468220727584</v>
      </c>
      <c r="AO62" s="248">
        <f>'Canada (product)'!I58</f>
        <v>0.34421572502912001</v>
      </c>
      <c r="AP62" s="63">
        <f>'Europe (product)'!I58</f>
        <v>0.28761399699528345</v>
      </c>
      <c r="AQ62" s="63">
        <f>'GCC (product)'!I58</f>
        <v>0.26331201316676001</v>
      </c>
      <c r="AR62" s="77">
        <f>'Russia and Other Euro (product)'!I58</f>
        <v>0.7079155358751632</v>
      </c>
      <c r="AS62" s="77">
        <f>'Africa (product)'!I58</f>
        <v>0.36791882499457607</v>
      </c>
      <c r="AT62" s="83">
        <f>'Other Asia (product)'!I58</f>
        <v>0.11705316747909468</v>
      </c>
      <c r="AU62" s="311"/>
      <c r="AV62" s="54"/>
      <c r="AW62" s="50"/>
      <c r="AX62" s="50"/>
      <c r="AY62" s="50"/>
      <c r="AZ62" s="50"/>
      <c r="BA62" s="161"/>
      <c r="BB62" s="50"/>
      <c r="BC62" s="50"/>
      <c r="BD62" s="50"/>
      <c r="BE62" s="50"/>
      <c r="BF62" s="50"/>
      <c r="BG62" s="50"/>
      <c r="BI62" s="67"/>
    </row>
    <row r="63" spans="1:61" ht="16">
      <c r="A63" s="47" t="s">
        <v>147</v>
      </c>
      <c r="B63" s="9" t="s">
        <v>104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2"/>
      <c r="N63" s="50"/>
      <c r="O63" s="50"/>
      <c r="P63" s="50"/>
      <c r="Q63" s="50"/>
      <c r="R63" s="50"/>
      <c r="S63" s="55"/>
      <c r="T63" s="55"/>
      <c r="U63" s="55"/>
      <c r="V63" s="55"/>
      <c r="W63" s="55"/>
      <c r="X63" s="54"/>
      <c r="Y63" s="56">
        <f>(((IFERROR('Global (product)'!G59*'Global (product)'!$L$5,0))+(IFERROR('Global (product)'!I59*'Global (product)'!$L$4,0)))*$Y$11)</f>
        <v>4.893511852992082E-3</v>
      </c>
      <c r="Z63" s="72">
        <f>'South America (product)'!G59*$Z$11</f>
        <v>1.5009247912229806E-3</v>
      </c>
      <c r="AA63" s="56" t="str">
        <f>'Oceania (product)'!G59</f>
        <v>nd</v>
      </c>
      <c r="AB63" s="72">
        <f>'NAM (product)'!G59*$AB$11</f>
        <v>1.4829720570982289E-3</v>
      </c>
      <c r="AC63" s="250">
        <f>'Canada (product)'!G59*$AC$11</f>
        <v>1.7000777260795872E-3</v>
      </c>
      <c r="AD63" s="72">
        <f>'Europe (product)'!G59*$AD$11</f>
        <v>1.4748825843336098E-3</v>
      </c>
      <c r="AE63" s="56">
        <f>'GCC (product)'!G59*$AE$11</f>
        <v>1.1397679831294165E-2</v>
      </c>
      <c r="AF63" s="77" t="s">
        <v>100</v>
      </c>
      <c r="AG63" s="66" t="str">
        <f>'Africa (product)'!G59</f>
        <v>nd</v>
      </c>
      <c r="AH63" s="72">
        <f>'Other Asia (product)'!G59*$AH$11</f>
        <v>1.0960231915839542E-3</v>
      </c>
      <c r="AI63" s="77" t="s">
        <v>100</v>
      </c>
      <c r="AJ63" s="54"/>
      <c r="AK63" s="56">
        <f>(((IFERROR('Global (product)'!K59*'Global (product)'!$L$5,0))+(IFERROR('Global (product)'!M59*'Global (product)'!$L$4,0))))</f>
        <v>6.0424259070464469E-2</v>
      </c>
      <c r="AL63" s="63" t="str">
        <f>'South America (product)'!I59</f>
        <v>nd</v>
      </c>
      <c r="AM63" s="56">
        <f>'Oceania (product)'!I59</f>
        <v>8.8451327236552472E-3</v>
      </c>
      <c r="AN63" s="56">
        <f>'NAM (product)'!I59</f>
        <v>5.1002653456514438E-3</v>
      </c>
      <c r="AO63" s="250">
        <f>'Canada (product)'!I59</f>
        <v>1.1926377866258899E-3</v>
      </c>
      <c r="AP63" s="56">
        <f>'Europe (product)'!I59</f>
        <v>1.742790111479663E-2</v>
      </c>
      <c r="AQ63" s="72">
        <f>'GCC (product)'!I59</f>
        <v>5.4066722332050401E-4</v>
      </c>
      <c r="AR63" s="77">
        <f>'Russia and Other Euro (product)'!I59</f>
        <v>0.69578289571690521</v>
      </c>
      <c r="AS63" s="69" t="str">
        <f>'Africa (product)'!I59</f>
        <v>nd</v>
      </c>
      <c r="AT63" s="83">
        <f>'Other Asia (product)'!I59</f>
        <v>4.0410997516140953E-2</v>
      </c>
      <c r="AU63" s="77" t="s">
        <v>100</v>
      </c>
      <c r="AV63" s="54"/>
      <c r="AW63" s="50"/>
      <c r="AX63" s="50"/>
      <c r="AY63" s="50"/>
      <c r="AZ63" s="50"/>
      <c r="BA63" s="161"/>
      <c r="BB63" s="50"/>
      <c r="BC63" s="50"/>
      <c r="BD63" s="50"/>
      <c r="BE63" s="50"/>
      <c r="BF63" s="50"/>
      <c r="BG63" s="50"/>
      <c r="BI63" s="67"/>
    </row>
    <row r="64" spans="1:61" ht="16">
      <c r="A64" s="47" t="s">
        <v>148</v>
      </c>
      <c r="B64" s="9" t="s">
        <v>143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2"/>
      <c r="N64" s="50"/>
      <c r="O64" s="50"/>
      <c r="P64" s="50"/>
      <c r="Q64" s="50"/>
      <c r="R64" s="50"/>
      <c r="S64" s="55"/>
      <c r="T64" s="55"/>
      <c r="U64" s="55"/>
      <c r="V64" s="55"/>
      <c r="W64" s="55"/>
      <c r="X64" s="54"/>
      <c r="Y64" s="56">
        <f>(((IFERROR('Global (product)'!G60*'Global (product)'!$L$5,0))+(IFERROR('Global (product)'!I60*'Global (product)'!$L$4,0)))*$Y$11)</f>
        <v>4.67404916862046E-3</v>
      </c>
      <c r="Z64" s="66">
        <f>'South America (product)'!G60*$Z$11</f>
        <v>0</v>
      </c>
      <c r="AA64" s="56" t="str">
        <f>'Oceania (product)'!G60</f>
        <v>nd</v>
      </c>
      <c r="AB64" s="72">
        <f>'NAM (product)'!G60*$AB$11</f>
        <v>1.7117045959298019E-3</v>
      </c>
      <c r="AC64" s="250">
        <f>'Canada (product)'!G60*$AC$11</f>
        <v>1.9035944356425825E-3</v>
      </c>
      <c r="AD64" s="72">
        <f>'Europe (product)'!G60*$AD$11</f>
        <v>5.6543954195925812E-4</v>
      </c>
      <c r="AE64" s="56">
        <f>'GCC (product)'!G60*$AE$11</f>
        <v>1.2495540388329857E-2</v>
      </c>
      <c r="AF64" s="77" t="s">
        <v>100</v>
      </c>
      <c r="AG64" s="66" t="str">
        <f>'Africa (product)'!G60</f>
        <v>nd</v>
      </c>
      <c r="AH64" s="66" t="str">
        <f>'Other Asia (product)'!G60</f>
        <v>nd</v>
      </c>
      <c r="AI64" s="77" t="s">
        <v>100</v>
      </c>
      <c r="AJ64" s="54"/>
      <c r="AK64" s="63">
        <f>(((IFERROR('Global (product)'!K60*'Global (product)'!$L$5,0))+(IFERROR('Global (product)'!M60*'Global (product)'!$L$4,0))))</f>
        <v>0.11576569587499794</v>
      </c>
      <c r="AL64" s="63" t="str">
        <f>'South America (product)'!I60</f>
        <v>nd</v>
      </c>
      <c r="AM64" s="56">
        <f>'Oceania (product)'!I60</f>
        <v>1.7127249105836132E-2</v>
      </c>
      <c r="AN64" s="72">
        <f>'NAM (product)'!I60</f>
        <v>7.1272828933618363E-4</v>
      </c>
      <c r="AO64" s="250">
        <f>'Canada (product)'!I60</f>
        <v>7.4284890208572822E-4</v>
      </c>
      <c r="AP64" s="63">
        <f>'Europe (product)'!I60</f>
        <v>0.56077293719045018</v>
      </c>
      <c r="AQ64" s="66">
        <f>'GCC (product)'!I60</f>
        <v>0</v>
      </c>
      <c r="AR64" s="77">
        <f>'Russia and Other Euro (product)'!I60</f>
        <v>0.98651948498393904</v>
      </c>
      <c r="AS64" s="69" t="str">
        <f>'Africa (product)'!I60</f>
        <v>nd</v>
      </c>
      <c r="AT64" s="69">
        <f>'Other Asia (product)'!I60</f>
        <v>0</v>
      </c>
      <c r="AU64" s="77" t="s">
        <v>100</v>
      </c>
      <c r="AV64" s="54"/>
      <c r="AW64" s="50"/>
      <c r="AX64" s="50"/>
      <c r="AY64" s="50"/>
      <c r="AZ64" s="50"/>
      <c r="BA64" s="161"/>
      <c r="BB64" s="50"/>
      <c r="BC64" s="50"/>
      <c r="BD64" s="50"/>
      <c r="BE64" s="50"/>
      <c r="BF64" s="50"/>
      <c r="BG64" s="50"/>
      <c r="BI64" s="67"/>
    </row>
    <row r="65" spans="1:61">
      <c r="A65" s="47" t="s">
        <v>149</v>
      </c>
      <c r="B65" s="9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2"/>
      <c r="N65" s="50"/>
      <c r="O65" s="50"/>
      <c r="P65" s="50"/>
      <c r="Q65" s="50"/>
      <c r="R65" s="50"/>
      <c r="S65" s="55"/>
      <c r="T65" s="55"/>
      <c r="U65" s="55"/>
      <c r="V65" s="55"/>
      <c r="W65" s="55"/>
      <c r="X65" s="54"/>
      <c r="Y65" s="50"/>
      <c r="Z65" s="50"/>
      <c r="AA65" s="50"/>
      <c r="AB65" s="50"/>
      <c r="AC65" s="161"/>
      <c r="AD65" s="50"/>
      <c r="AE65" s="50"/>
      <c r="AF65" s="50"/>
      <c r="AG65" s="50"/>
      <c r="AH65" s="50"/>
      <c r="AI65" s="50"/>
      <c r="AJ65" s="54"/>
      <c r="AK65" s="63">
        <f>(((IFERROR('Global (product)'!K61*'Global (product)'!$L$5,0))+(IFERROR('Global (product)'!M61*'Global (product)'!$L$4,0))))</f>
        <v>0.10426487075648778</v>
      </c>
      <c r="AL65" s="56">
        <f>'South America (product)'!I61</f>
        <v>4.6384768393952447E-2</v>
      </c>
      <c r="AM65" s="56">
        <f>'Oceania (product)'!I61</f>
        <v>2.470705206585222E-2</v>
      </c>
      <c r="AN65" s="63">
        <f>'NAM (product)'!I61</f>
        <v>5.0155917828038583E-2</v>
      </c>
      <c r="AO65" s="249">
        <f>'Canada (product)'!I61</f>
        <v>0.10816719573996378</v>
      </c>
      <c r="AP65" s="56">
        <f>'Europe (product)'!I61</f>
        <v>2.1694847959391372E-2</v>
      </c>
      <c r="AQ65" s="72">
        <f>'GCC (product)'!I61</f>
        <v>2.9606467922541398E-2</v>
      </c>
      <c r="AR65" s="83">
        <f>'Russia and Other Euro (product)'!I61</f>
        <v>4.6176193437857387E-2</v>
      </c>
      <c r="AS65" s="83">
        <f>'Africa (product)'!I61</f>
        <v>2.3226663650361107E-2</v>
      </c>
      <c r="AT65" s="83">
        <f>'Other Asia (product)'!I61</f>
        <v>2.0516024953078398E-2</v>
      </c>
      <c r="AU65" s="83">
        <f>'China (product)'!I61</f>
        <v>0.161</v>
      </c>
      <c r="AV65" s="54"/>
      <c r="AW65" s="50"/>
      <c r="AX65" s="50"/>
      <c r="AY65" s="50"/>
      <c r="AZ65" s="50"/>
      <c r="BA65" s="161"/>
      <c r="BB65" s="50"/>
      <c r="BC65" s="50"/>
      <c r="BD65" s="50"/>
      <c r="BE65" s="50"/>
      <c r="BF65" s="50"/>
      <c r="BG65" s="50"/>
      <c r="BI65" s="67"/>
    </row>
    <row r="66" spans="1:61">
      <c r="A66" s="47" t="s">
        <v>150</v>
      </c>
      <c r="B66" s="9" t="s">
        <v>104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2"/>
      <c r="N66" s="50"/>
      <c r="O66" s="50"/>
      <c r="P66" s="50"/>
      <c r="Q66" s="50"/>
      <c r="R66" s="50"/>
      <c r="S66" s="55"/>
      <c r="T66" s="55"/>
      <c r="U66" s="55"/>
      <c r="V66" s="55"/>
      <c r="W66" s="55"/>
      <c r="X66" s="54"/>
      <c r="Y66" s="50"/>
      <c r="Z66" s="50"/>
      <c r="AA66" s="50"/>
      <c r="AB66" s="50"/>
      <c r="AC66" s="161"/>
      <c r="AD66" s="50"/>
      <c r="AE66" s="50"/>
      <c r="AF66" s="50"/>
      <c r="AG66" s="50"/>
      <c r="AH66" s="50"/>
      <c r="AI66" s="50"/>
      <c r="AJ66" s="54"/>
      <c r="AK66" s="72">
        <f>(((IFERROR('Global (product)'!K62*'Global (product)'!$L$5,0))+(IFERROR('Global (product)'!M62*'Global (product)'!$L$4,0))))</f>
        <v>3.9514453935753811E-3</v>
      </c>
      <c r="AL66" s="72">
        <f>'South America (product)'!I62</f>
        <v>2.8770545115330347E-3</v>
      </c>
      <c r="AM66" s="72">
        <f>'Oceania (product)'!I62</f>
        <v>1.2570366286008825E-3</v>
      </c>
      <c r="AN66" s="56">
        <f>'NAM (product)'!I62</f>
        <v>8.8250341854099277E-3</v>
      </c>
      <c r="AO66" s="250">
        <f>'Canada (product)'!I62</f>
        <v>4.0618524333774515E-3</v>
      </c>
      <c r="AP66" s="72">
        <f>'Europe (product)'!I62</f>
        <v>1.8699657710940019E-3</v>
      </c>
      <c r="AQ66" s="72">
        <f>'GCC (product)'!I62</f>
        <v>1.14838862215645E-3</v>
      </c>
      <c r="AR66" s="85">
        <f>'Russia and Other Euro (product)'!I62</f>
        <v>2.6748167279595906E-3</v>
      </c>
      <c r="AS66" s="254">
        <f>'Africa (product)'!I62</f>
        <v>1.1107093684104925E-4</v>
      </c>
      <c r="AT66" s="85">
        <f>'Other Asia (product)'!I62</f>
        <v>1.3889570034126999E-3</v>
      </c>
      <c r="AU66" s="85">
        <f>'China (product)'!I62</f>
        <v>5.0000000000000001E-3</v>
      </c>
      <c r="AV66" s="54"/>
      <c r="AW66" s="50"/>
      <c r="AX66" s="50"/>
      <c r="AY66" s="50"/>
      <c r="AZ66" s="50"/>
      <c r="BA66" s="161"/>
      <c r="BB66" s="50"/>
      <c r="BC66" s="50"/>
      <c r="BD66" s="50"/>
      <c r="BE66" s="50"/>
      <c r="BF66" s="50"/>
      <c r="BG66" s="50"/>
      <c r="BI66" s="67"/>
    </row>
    <row r="67" spans="1:61" ht="16">
      <c r="A67" s="47" t="s">
        <v>151</v>
      </c>
      <c r="B67" s="9" t="s">
        <v>104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2"/>
      <c r="N67" s="50"/>
      <c r="O67" s="50"/>
      <c r="P67" s="50"/>
      <c r="Q67" s="50"/>
      <c r="R67" s="50"/>
      <c r="S67" s="55"/>
      <c r="T67" s="55"/>
      <c r="U67" s="55"/>
      <c r="V67" s="55"/>
      <c r="W67" s="55"/>
      <c r="X67" s="54"/>
      <c r="Y67" s="50"/>
      <c r="Z67" s="50"/>
      <c r="AA67" s="50"/>
      <c r="AB67" s="50"/>
      <c r="AC67" s="161"/>
      <c r="AD67" s="50"/>
      <c r="AE67" s="50"/>
      <c r="AF67" s="50"/>
      <c r="AG67" s="50"/>
      <c r="AH67" s="50"/>
      <c r="AI67" s="50"/>
      <c r="AJ67" s="54"/>
      <c r="AK67" s="50"/>
      <c r="AL67" s="56"/>
      <c r="AM67" s="56"/>
      <c r="AN67" s="56"/>
      <c r="AO67" s="51"/>
      <c r="AP67" s="56"/>
      <c r="AQ67" s="56"/>
      <c r="AR67" s="50"/>
      <c r="AS67" s="50"/>
      <c r="AT67" s="50"/>
      <c r="AU67" s="50"/>
      <c r="AV67" s="54"/>
      <c r="AW67" s="56">
        <f>'Global (product)'!O63</f>
        <v>1.1678938560019499E-2</v>
      </c>
      <c r="AX67" s="72">
        <f>'South America (product)'!K63</f>
        <v>1.0032008713381686E-3</v>
      </c>
      <c r="AY67" s="66">
        <f>'Oceania (product)'!K63</f>
        <v>0</v>
      </c>
      <c r="AZ67" s="56">
        <f>'NAM (product)'!K63</f>
        <v>3.6602865476211263E-2</v>
      </c>
      <c r="BA67" s="259">
        <f>'Canada (product)'!K63</f>
        <v>8.0186104466733396E-3</v>
      </c>
      <c r="BB67" s="72">
        <f>'Europe (product)'!K63</f>
        <v>5.8115145352766696E-3</v>
      </c>
      <c r="BC67" s="72">
        <f>'GCC (product)'!K63</f>
        <v>3.4665651678014702E-3</v>
      </c>
      <c r="BD67" s="56">
        <f>'Russia and Other Euro (product)'!K63</f>
        <v>1.1705999554640601E-2</v>
      </c>
      <c r="BE67" s="66">
        <f>'Africa (product)'!K63</f>
        <v>0</v>
      </c>
      <c r="BF67" s="107">
        <f>'Other Asia (product)'!K63</f>
        <v>1.3566608588182165E-4</v>
      </c>
      <c r="BG67" s="72" t="s">
        <v>100</v>
      </c>
      <c r="BI67" s="67"/>
    </row>
    <row r="68" spans="1:61">
      <c r="A68" s="47" t="s">
        <v>203</v>
      </c>
      <c r="B68" s="9" t="s">
        <v>104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2"/>
      <c r="N68" s="50"/>
      <c r="O68" s="50"/>
      <c r="P68" s="50"/>
      <c r="Q68" s="50"/>
      <c r="R68" s="50"/>
      <c r="S68" s="55"/>
      <c r="T68" s="55"/>
      <c r="U68" s="55"/>
      <c r="V68" s="55"/>
      <c r="W68" s="55"/>
      <c r="X68" s="54"/>
      <c r="Y68" s="50"/>
      <c r="Z68" s="50"/>
      <c r="AA68" s="50"/>
      <c r="AB68" s="50"/>
      <c r="AC68" s="161"/>
      <c r="AD68" s="50"/>
      <c r="AE68" s="50"/>
      <c r="AF68" s="50"/>
      <c r="AG68" s="50"/>
      <c r="AH68" s="50"/>
      <c r="AI68" s="50"/>
      <c r="AJ68" s="54"/>
      <c r="AK68" s="50"/>
      <c r="AL68" s="56"/>
      <c r="AM68" s="56"/>
      <c r="AN68" s="56"/>
      <c r="AO68" s="51"/>
      <c r="AP68" s="56"/>
      <c r="AQ68" s="56"/>
      <c r="AR68" s="50"/>
      <c r="AS68" s="50"/>
      <c r="AT68" s="50"/>
      <c r="AU68" s="50"/>
      <c r="AV68" s="54"/>
      <c r="AW68" s="56"/>
      <c r="AX68" s="56"/>
      <c r="AY68" s="56"/>
      <c r="AZ68" s="56"/>
      <c r="BA68" s="51"/>
      <c r="BB68" s="56"/>
      <c r="BC68" s="56"/>
      <c r="BD68" s="56"/>
      <c r="BE68" s="56"/>
      <c r="BF68" s="56"/>
      <c r="BG68" s="56"/>
      <c r="BI68" s="67"/>
    </row>
    <row r="69" spans="1:61">
      <c r="A69" s="47"/>
      <c r="B69" s="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2"/>
      <c r="N69" s="50"/>
      <c r="O69" s="50"/>
      <c r="P69" s="50"/>
      <c r="Q69" s="50"/>
      <c r="R69" s="50"/>
      <c r="S69" s="55"/>
      <c r="T69" s="55"/>
      <c r="U69" s="55"/>
      <c r="V69" s="55"/>
      <c r="W69" s="55"/>
      <c r="X69" s="54"/>
      <c r="Y69" s="50"/>
      <c r="Z69" s="50"/>
      <c r="AA69" s="50"/>
      <c r="AB69" s="50"/>
      <c r="AC69" s="161"/>
      <c r="AD69" s="50"/>
      <c r="AE69" s="50"/>
      <c r="AF69" s="50"/>
      <c r="AG69" s="50"/>
      <c r="AH69" s="50"/>
      <c r="AI69" s="50"/>
      <c r="AJ69" s="54"/>
      <c r="AK69" s="50"/>
      <c r="AL69" s="56"/>
      <c r="AM69" s="56"/>
      <c r="AN69" s="56"/>
      <c r="AO69" s="51"/>
      <c r="AP69" s="56"/>
      <c r="AQ69" s="56"/>
      <c r="AR69" s="50"/>
      <c r="AS69" s="50"/>
      <c r="AT69" s="50"/>
      <c r="AU69" s="50"/>
      <c r="AV69" s="54"/>
      <c r="AW69" s="50"/>
      <c r="AX69" s="50"/>
      <c r="AY69" s="50"/>
      <c r="AZ69" s="50"/>
      <c r="BA69" s="161"/>
      <c r="BB69" s="50"/>
      <c r="BC69" s="50"/>
      <c r="BD69" s="50"/>
      <c r="BE69" s="50"/>
      <c r="BF69" s="50"/>
      <c r="BG69" s="50"/>
      <c r="BI69" s="67"/>
    </row>
    <row r="70" spans="1:61">
      <c r="A70" s="45" t="s">
        <v>152</v>
      </c>
      <c r="B70" s="44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2"/>
      <c r="N70" s="50"/>
      <c r="O70" s="50"/>
      <c r="P70" s="50"/>
      <c r="Q70" s="50"/>
      <c r="R70" s="50"/>
      <c r="S70" s="55"/>
      <c r="T70" s="55"/>
      <c r="U70" s="55"/>
      <c r="V70" s="55"/>
      <c r="W70" s="55"/>
      <c r="X70" s="54"/>
      <c r="Y70" s="50"/>
      <c r="Z70" s="50"/>
      <c r="AA70" s="50"/>
      <c r="AB70" s="50"/>
      <c r="AC70" s="161"/>
      <c r="AD70" s="50"/>
      <c r="AE70" s="50"/>
      <c r="AF70" s="50"/>
      <c r="AG70" s="50"/>
      <c r="AH70" s="50"/>
      <c r="AI70" s="50"/>
      <c r="AJ70" s="54"/>
      <c r="AK70" s="50"/>
      <c r="AL70" s="50"/>
      <c r="AM70" s="50"/>
      <c r="AN70" s="50"/>
      <c r="AO70" s="161"/>
      <c r="AP70" s="50"/>
      <c r="AQ70" s="50"/>
      <c r="AR70" s="50"/>
      <c r="AS70" s="50"/>
      <c r="AT70" s="50"/>
      <c r="AU70" s="50"/>
      <c r="AV70" s="54"/>
      <c r="AW70" s="50"/>
      <c r="AX70" s="50"/>
      <c r="AY70" s="50"/>
      <c r="AZ70" s="50"/>
      <c r="BA70" s="161"/>
      <c r="BB70" s="50"/>
      <c r="BC70" s="50"/>
      <c r="BD70" s="50"/>
      <c r="BE70" s="50"/>
      <c r="BF70" s="50"/>
      <c r="BG70" s="50"/>
      <c r="BI70" s="67"/>
    </row>
    <row r="71" spans="1:61" ht="16">
      <c r="A71" s="47" t="s">
        <v>107</v>
      </c>
      <c r="B71" s="9" t="s">
        <v>108</v>
      </c>
      <c r="C71" s="65">
        <f>'Global (product)'!$C$67*C11</f>
        <v>0.41136629323588325</v>
      </c>
      <c r="D71" s="65">
        <f>'South America (product)'!C67*$D$11</f>
        <v>1.536997372760357</v>
      </c>
      <c r="E71" s="65">
        <f>'Oceania (product)'!C67*$E$11</f>
        <v>0.48853003960167296</v>
      </c>
      <c r="F71" s="68" t="s">
        <v>100</v>
      </c>
      <c r="G71" s="68" t="s">
        <v>100</v>
      </c>
      <c r="H71" s="68" t="s">
        <v>100</v>
      </c>
      <c r="I71" s="68" t="s">
        <v>100</v>
      </c>
      <c r="J71" s="68" t="s">
        <v>100</v>
      </c>
      <c r="K71" s="68" t="s">
        <v>100</v>
      </c>
      <c r="L71" s="68" t="s">
        <v>100</v>
      </c>
      <c r="M71" s="62"/>
      <c r="N71" s="66">
        <f>'Global (product)'!E67*$N$11</f>
        <v>4.2033801963613309</v>
      </c>
      <c r="O71" s="66">
        <f>'South America (product)'!$E67*$N$11</f>
        <v>1.8051448587379033</v>
      </c>
      <c r="P71" s="66">
        <f>'Oceania (product)'!$E67*$N$11</f>
        <v>1.3342366810026263</v>
      </c>
      <c r="Q71" s="66">
        <f>'NAM (product)'!$E67*$N$11</f>
        <v>20.310636469841256</v>
      </c>
      <c r="R71" s="66">
        <f>'Europe (product)'!$E67*$N$11</f>
        <v>6.8297597230652531</v>
      </c>
      <c r="S71" s="69">
        <f>'Russia and Other Euro (product)'!E67*$S$11</f>
        <v>17.490588717069802</v>
      </c>
      <c r="T71" s="77" t="s">
        <v>100</v>
      </c>
      <c r="U71" s="77" t="s">
        <v>100</v>
      </c>
      <c r="V71" s="69">
        <f>'Other Asia (product)'!E67*$V$11</f>
        <v>1.437149159368811</v>
      </c>
      <c r="W71" s="77" t="s">
        <v>100</v>
      </c>
      <c r="X71" s="67"/>
      <c r="Y71" s="56">
        <f>(((IFERROR('Global (product)'!G67*'Global (product)'!$L$5,0))+(IFERROR('Global (product)'!I67*'Global (product)'!$L$4,0)))*$Y$11)</f>
        <v>0.23769776093315992</v>
      </c>
      <c r="Z71" s="66">
        <f>'South America (product)'!G67*$Z$11</f>
        <v>0</v>
      </c>
      <c r="AA71" s="56" t="str">
        <f>'Oceania (product)'!G67</f>
        <v>nd</v>
      </c>
      <c r="AB71" s="66">
        <f>'NAM (product)'!G67*$AB$11</f>
        <v>0</v>
      </c>
      <c r="AC71" s="249" t="str">
        <f>'Canada (product)'!G67</f>
        <v>nd</v>
      </c>
      <c r="AD71" s="56">
        <f>'Europe (product)'!G67*$AD$11</f>
        <v>1.2646246410085298</v>
      </c>
      <c r="AE71" s="66">
        <f>'GCC (product)'!G67*$AE$11</f>
        <v>0</v>
      </c>
      <c r="AF71" s="66" t="str">
        <f>'Russia and Other Euro (product)'!G67</f>
        <v>nd</v>
      </c>
      <c r="AG71" s="66">
        <f>'Africa (product)'!G67*$AG$11</f>
        <v>0</v>
      </c>
      <c r="AH71" s="56">
        <f>'Other Asia (product)'!G67*$AH$11</f>
        <v>4.7619737490033572E-2</v>
      </c>
      <c r="AI71" s="77" t="s">
        <v>100</v>
      </c>
      <c r="AJ71" s="67"/>
      <c r="AK71" s="66">
        <f>(((IFERROR('Global (product)'!K67*'Global (product)'!$L$5,0))+(IFERROR('Global (product)'!M67*'Global (product)'!$L$4,0))))</f>
        <v>3.8660502167990543</v>
      </c>
      <c r="AL71" s="66">
        <f>'South America (product)'!I67</f>
        <v>0</v>
      </c>
      <c r="AM71" s="56" t="str">
        <f>'Oceania (product)'!I67</f>
        <v>nd</v>
      </c>
      <c r="AN71" s="66">
        <f>'NAM (product)'!I67</f>
        <v>5.1389913093080537</v>
      </c>
      <c r="AO71" s="247">
        <f>'Canada (product)'!I67</f>
        <v>4.8991928744220603</v>
      </c>
      <c r="AP71" s="66">
        <f>'Europe (product)'!I67</f>
        <v>21.445872279815315</v>
      </c>
      <c r="AQ71" s="66">
        <f>'GCC (product)'!I67</f>
        <v>0</v>
      </c>
      <c r="AR71" s="77" t="str">
        <f>'Russia and Other Euro (product)'!I67</f>
        <v>nd</v>
      </c>
      <c r="AS71" s="77">
        <f>'Africa (product)'!I67</f>
        <v>0.53642609465008373</v>
      </c>
      <c r="AT71" s="69">
        <f>'Other Asia (product)'!I67</f>
        <v>0</v>
      </c>
      <c r="AU71" s="77" t="s">
        <v>100</v>
      </c>
      <c r="AV71" s="67"/>
      <c r="AW71" s="66">
        <f>'Global (product)'!O67</f>
        <v>1.75532419264564</v>
      </c>
      <c r="AX71" s="66">
        <f>'South America (product)'!K67</f>
        <v>3.3139829609819937</v>
      </c>
      <c r="AY71" s="66">
        <f>'Oceania (product)'!K67</f>
        <v>0</v>
      </c>
      <c r="AZ71" s="66">
        <f>'NAM (product)'!K67</f>
        <v>3.8846632005915804</v>
      </c>
      <c r="BA71" s="61" t="str">
        <f>'Canada (product)'!K67</f>
        <v>nd</v>
      </c>
      <c r="BB71" s="66">
        <f>'Europe (product)'!K67</f>
        <v>7.6075699152432197</v>
      </c>
      <c r="BC71" s="56">
        <f>'GCC (product)'!K67</f>
        <v>2.5446271679241898E-2</v>
      </c>
      <c r="BD71" s="56" t="str">
        <f>'Russia and Other Euro (product)'!K67</f>
        <v>nd</v>
      </c>
      <c r="BE71" s="63">
        <f>'Africa (product)'!K67</f>
        <v>0.24548395645850352</v>
      </c>
      <c r="BF71" s="66">
        <f>'Other Asia (product)'!K67</f>
        <v>0</v>
      </c>
      <c r="BG71" s="66" t="s">
        <v>100</v>
      </c>
      <c r="BI71" s="67"/>
    </row>
    <row r="72" spans="1:61" ht="16">
      <c r="A72" s="47" t="s">
        <v>109</v>
      </c>
      <c r="B72" s="9" t="s">
        <v>108</v>
      </c>
      <c r="C72" s="65">
        <f>'Global (product)'!$C$68*C11</f>
        <v>1.2229390584902426</v>
      </c>
      <c r="D72" s="68">
        <f>'South America (product)'!C68*$D$11</f>
        <v>0</v>
      </c>
      <c r="E72" s="65">
        <f>'Oceania (product)'!C68*$E$11</f>
        <v>1.3972077531184701</v>
      </c>
      <c r="F72" s="68" t="s">
        <v>100</v>
      </c>
      <c r="G72" s="68" t="s">
        <v>100</v>
      </c>
      <c r="H72" s="68" t="s">
        <v>100</v>
      </c>
      <c r="I72" s="68" t="s">
        <v>100</v>
      </c>
      <c r="J72" s="68" t="s">
        <v>100</v>
      </c>
      <c r="K72" s="68" t="s">
        <v>100</v>
      </c>
      <c r="L72" s="68" t="s">
        <v>100</v>
      </c>
      <c r="M72" s="62"/>
      <c r="N72" s="63">
        <f>'Global (product)'!E68*$N$11</f>
        <v>3.780845086926937</v>
      </c>
      <c r="O72" s="66">
        <f>'South America (product)'!$E68*$N$11</f>
        <v>0</v>
      </c>
      <c r="P72" s="63">
        <f>'Oceania (product)'!$E68*$N$11</f>
        <v>5.4174299606130676</v>
      </c>
      <c r="Q72" s="66" t="s">
        <v>100</v>
      </c>
      <c r="R72" s="66">
        <f>'Europe (product)'!$E68*$N$11</f>
        <v>0</v>
      </c>
      <c r="S72" s="69">
        <f>'Russia and Other Euro (product)'!E68*$S$11</f>
        <v>0</v>
      </c>
      <c r="T72" s="77" t="s">
        <v>100</v>
      </c>
      <c r="U72" s="77" t="s">
        <v>100</v>
      </c>
      <c r="V72" s="69">
        <f>'Other Asia (product)'!E68*$V$11</f>
        <v>0</v>
      </c>
      <c r="W72" s="77" t="s">
        <v>100</v>
      </c>
      <c r="X72" s="67"/>
      <c r="Y72" s="56">
        <f>(((IFERROR('Global (product)'!G68*'Global (product)'!$L$5,0))+(IFERROR('Global (product)'!I68*'Global (product)'!$L$4,0)))*$Y$11)</f>
        <v>0.720194677140502</v>
      </c>
      <c r="Z72" s="66">
        <f>'South America (product)'!G68*$Z$11</f>
        <v>0</v>
      </c>
      <c r="AA72" s="66">
        <f>'Oceania (product)'!G68*$AA$11</f>
        <v>0</v>
      </c>
      <c r="AB72" s="66">
        <f>'NAM (product)'!G68*$AB$11</f>
        <v>0</v>
      </c>
      <c r="AC72" s="247">
        <f>'Canada (product)'!G68*$AC$11</f>
        <v>0</v>
      </c>
      <c r="AD72" s="56">
        <f>'Europe (product)'!G68*$AD$11</f>
        <v>3.4946995516179542</v>
      </c>
      <c r="AE72" s="56" t="str">
        <f>'GCC (product)'!G68</f>
        <v>nd</v>
      </c>
      <c r="AF72" s="66">
        <f>'Russia and Other Euro (product)'!G68*$AF$11</f>
        <v>0</v>
      </c>
      <c r="AG72" s="77" t="s">
        <v>100</v>
      </c>
      <c r="AH72" s="66">
        <f>'Other Asia (product)'!G68*$AH$11</f>
        <v>0</v>
      </c>
      <c r="AI72" s="77" t="s">
        <v>100</v>
      </c>
      <c r="AJ72" s="67"/>
      <c r="AK72" s="66">
        <f>(((IFERROR('Global (product)'!K68*'Global (product)'!$L$5,0))+(IFERROR('Global (product)'!M68*'Global (product)'!$L$4,0))))</f>
        <v>31.788103300074724</v>
      </c>
      <c r="AL72" s="66">
        <f>'South America (product)'!I68</f>
        <v>0</v>
      </c>
      <c r="AM72" s="66">
        <f>'Oceania (product)'!I68</f>
        <v>0</v>
      </c>
      <c r="AN72" s="66">
        <f>'NAM (product)'!I68</f>
        <v>0</v>
      </c>
      <c r="AO72" s="247">
        <f>'Canada (product)'!I68</f>
        <v>0</v>
      </c>
      <c r="AP72" s="66">
        <f>'Europe (product)'!I68</f>
        <v>78.441141144794429</v>
      </c>
      <c r="AQ72" s="66">
        <f>'GCC (product)'!I68</f>
        <v>91.661263591912402</v>
      </c>
      <c r="AR72" s="69">
        <f>'Russia and Other Euro (product)'!I68</f>
        <v>0</v>
      </c>
      <c r="AS72" s="69">
        <f>'Africa (product)'!I68</f>
        <v>0</v>
      </c>
      <c r="AT72" s="69">
        <f>'Other Asia (product)'!I68</f>
        <v>0</v>
      </c>
      <c r="AU72" s="77" t="s">
        <v>100</v>
      </c>
      <c r="AV72" s="67"/>
      <c r="AW72" s="66">
        <f>'Global (product)'!O68</f>
        <v>6.2207195765515841</v>
      </c>
      <c r="AX72" s="66">
        <f>'South America (product)'!K68</f>
        <v>0</v>
      </c>
      <c r="AY72" s="66">
        <f>'Oceania (product)'!K68</f>
        <v>0</v>
      </c>
      <c r="AZ72" s="66">
        <f>'NAM (product)'!K68</f>
        <v>0</v>
      </c>
      <c r="BA72" s="61">
        <f>'Canada (product)'!K68</f>
        <v>0</v>
      </c>
      <c r="BB72" s="66">
        <f>'Europe (product)'!K68</f>
        <v>0</v>
      </c>
      <c r="BC72" s="66">
        <f>'GCC (product)'!K68</f>
        <v>24.475631637846753</v>
      </c>
      <c r="BD72" s="66" t="str">
        <f>'Russia and Other Euro (product)'!K68</f>
        <v>nd</v>
      </c>
      <c r="BE72" s="66">
        <f>'Africa (product)'!K68</f>
        <v>0</v>
      </c>
      <c r="BF72" s="66">
        <f>'Other Asia (product)'!K68</f>
        <v>0</v>
      </c>
      <c r="BG72" s="66" t="s">
        <v>100</v>
      </c>
      <c r="BI72" s="67"/>
    </row>
    <row r="73" spans="1:61" ht="16">
      <c r="A73" s="47" t="s">
        <v>153</v>
      </c>
      <c r="B73" s="9" t="s">
        <v>104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2"/>
      <c r="N73" s="56">
        <f>'Global (product)'!E69*$N$11</f>
        <v>0.14570922478840395</v>
      </c>
      <c r="O73" s="66">
        <f>'South America (product)'!$E69*$N$11</f>
        <v>0</v>
      </c>
      <c r="P73" s="63">
        <f>'Oceania (product)'!$E69*$N$11</f>
        <v>0.12009574133647052</v>
      </c>
      <c r="Q73" s="63">
        <f>'NAM (product)'!$E69*$N$11</f>
        <v>0.12469002330959947</v>
      </c>
      <c r="R73" s="63">
        <f>'Europe (product)'!$E69*$N$11</f>
        <v>0.4449689932360637</v>
      </c>
      <c r="S73" s="83">
        <f>'Russia and Other Euro (product)'!E69*$S$11</f>
        <v>4.3736344752053416E-2</v>
      </c>
      <c r="T73" s="77" t="s">
        <v>100</v>
      </c>
      <c r="U73" s="77" t="s">
        <v>100</v>
      </c>
      <c r="V73" s="77" t="s">
        <v>100</v>
      </c>
      <c r="W73" s="77" t="s">
        <v>100</v>
      </c>
      <c r="X73" s="54"/>
      <c r="Y73" s="56">
        <f>(((IFERROR('Global (product)'!G69*'Global (product)'!$L$5,0))+(IFERROR('Global (product)'!I69*'Global (product)'!$L$4,0)))*$Y$11)</f>
        <v>7.2393398418307891E-3</v>
      </c>
      <c r="Z73" s="56" t="s">
        <v>100</v>
      </c>
      <c r="AA73" s="56" t="str">
        <f>'Oceania (product)'!G69</f>
        <v>nd</v>
      </c>
      <c r="AB73" s="107">
        <f>'NAM (product)'!G69*$AB$11</f>
        <v>1.8742816986115968E-4</v>
      </c>
      <c r="AC73" s="247">
        <f>'Canada (product)'!G69*$AC$11</f>
        <v>0</v>
      </c>
      <c r="AD73" s="56">
        <f>'Europe (product)'!G69*$AD$11</f>
        <v>1.2235335079680372E-2</v>
      </c>
      <c r="AE73" s="66">
        <f>'GCC (product)'!G69*$AE$11</f>
        <v>0</v>
      </c>
      <c r="AF73" s="66" t="str">
        <f>'Russia and Other Euro (product)'!G69</f>
        <v>nd</v>
      </c>
      <c r="AG73" s="77" t="s">
        <v>100</v>
      </c>
      <c r="AH73" s="66">
        <f>'Other Asia (product)'!G69*$AH$11</f>
        <v>0</v>
      </c>
      <c r="AI73" s="77" t="s">
        <v>100</v>
      </c>
      <c r="AJ73" s="54"/>
      <c r="AK73" s="56">
        <f>(((IFERROR('Global (product)'!K69*'Global (product)'!$L$5,0))+(IFERROR('Global (product)'!M69*'Global (product)'!$L$4,0))))</f>
        <v>0.1786858055133777</v>
      </c>
      <c r="AL73" s="107">
        <f>'South America (product)'!I69</f>
        <v>4.5432628802453853E-4</v>
      </c>
      <c r="AM73" s="56">
        <f>'Oceania (product)'!I69</f>
        <v>1.2568057567719011E-2</v>
      </c>
      <c r="AN73" s="56">
        <f>'NAM (product)'!I69</f>
        <v>3.225935090046634E-2</v>
      </c>
      <c r="AO73" s="249">
        <f>'Canada (product)'!I69</f>
        <v>2.9853807974255801E-2</v>
      </c>
      <c r="AP73" s="63">
        <f>'Europe (product)'!I69</f>
        <v>0.22156858333323143</v>
      </c>
      <c r="AQ73" s="63">
        <f>'GCC (product)'!I69</f>
        <v>0.66775550941615702</v>
      </c>
      <c r="AR73" s="254">
        <f>'Russia and Other Euro (product)'!I69</f>
        <v>1.2344406121003217E-4</v>
      </c>
      <c r="AS73" s="69" t="str">
        <f>'Africa (product)'!I69</f>
        <v>nd</v>
      </c>
      <c r="AT73" s="85">
        <f>'Other Asia (product)'!I69</f>
        <v>1.3997835230971478E-2</v>
      </c>
      <c r="AU73" s="77" t="s">
        <v>100</v>
      </c>
      <c r="AV73" s="54"/>
      <c r="AW73" s="72">
        <f>'Global (product)'!O69</f>
        <v>3.2974749241411398E-3</v>
      </c>
      <c r="AX73" s="66">
        <f>'South America (product)'!K69</f>
        <v>0</v>
      </c>
      <c r="AY73" s="66">
        <f>'Oceania (product)'!K69</f>
        <v>0</v>
      </c>
      <c r="AZ73" s="72">
        <f>'NAM (product)'!K69</f>
        <v>1.0972013140389566E-3</v>
      </c>
      <c r="BA73" s="61">
        <f>'Canada (product)'!K69</f>
        <v>0</v>
      </c>
      <c r="BB73" s="72">
        <f>'Europe (product)'!K69</f>
        <v>8.0417861802780204E-3</v>
      </c>
      <c r="BC73" s="72">
        <f>'GCC (product)'!K69</f>
        <v>3.2408269817794E-3</v>
      </c>
      <c r="BD73" s="66" t="str">
        <f>'Russia and Other Euro (product)'!K69</f>
        <v>nd</v>
      </c>
      <c r="BE73" s="72">
        <f>'Africa (product)'!K69</f>
        <v>2.2888767719045073E-3</v>
      </c>
      <c r="BF73" s="66">
        <f>'Other Asia (product)'!K69</f>
        <v>6.1780107569394091E-12</v>
      </c>
      <c r="BG73" s="66" t="s">
        <v>100</v>
      </c>
      <c r="BI73" s="67"/>
    </row>
    <row r="74" spans="1:61" ht="16">
      <c r="A74" s="47" t="s">
        <v>154</v>
      </c>
      <c r="B74" s="9" t="s">
        <v>104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2"/>
      <c r="N74" s="63">
        <f>'Global (product)'!E70*$N$11</f>
        <v>1.5653924033092226</v>
      </c>
      <c r="O74" s="66">
        <f>'South America (product)'!$E70*$N$11</f>
        <v>0</v>
      </c>
      <c r="P74" s="66">
        <f>'South America (product)'!$E70*$N$11</f>
        <v>0</v>
      </c>
      <c r="Q74" s="66">
        <f>'NAM (product)'!$E70*$N$11</f>
        <v>21.803639161402796</v>
      </c>
      <c r="R74" s="66">
        <f>'Europe (product)'!$E70*$N$11</f>
        <v>0</v>
      </c>
      <c r="S74" s="77">
        <f>'Russia and Other Euro (product)'!E70*$S$11</f>
        <v>0.41387184824680695</v>
      </c>
      <c r="T74" s="77" t="s">
        <v>100</v>
      </c>
      <c r="U74" s="77" t="s">
        <v>100</v>
      </c>
      <c r="V74" s="77" t="s">
        <v>100</v>
      </c>
      <c r="W74" s="77" t="s">
        <v>100</v>
      </c>
      <c r="X74" s="54"/>
      <c r="Y74" s="56">
        <f>(((IFERROR('Global (product)'!G70*'Global (product)'!$L$5,0))+(IFERROR('Global (product)'!I70*'Global (product)'!$L$4,0)))*$Y$11)</f>
        <v>1.3034374878775835E-2</v>
      </c>
      <c r="Z74" s="56" t="s">
        <v>100</v>
      </c>
      <c r="AA74" s="66">
        <f>'Oceania (product)'!G70*$AA$11</f>
        <v>0</v>
      </c>
      <c r="AB74" s="66">
        <f>'NAM (product)'!G70*$AB$11</f>
        <v>0</v>
      </c>
      <c r="AC74" s="247">
        <f>'Canada (product)'!G70*$AC$11</f>
        <v>0</v>
      </c>
      <c r="AD74" s="66">
        <f>'Europe (product)'!G70*$AD$11</f>
        <v>0</v>
      </c>
      <c r="AE74" s="56">
        <f>'GCC (product)'!G70*$AE$11</f>
        <v>4.1455721049260902E-2</v>
      </c>
      <c r="AF74" s="66" t="str">
        <f>'Russia and Other Euro (product)'!G70</f>
        <v>nd</v>
      </c>
      <c r="AG74" s="77" t="s">
        <v>100</v>
      </c>
      <c r="AH74" s="66">
        <f>'Other Asia (product)'!G70*$AH$11</f>
        <v>0</v>
      </c>
      <c r="AI74" s="77" t="s">
        <v>100</v>
      </c>
      <c r="AJ74" s="54"/>
      <c r="AK74" s="72">
        <f>(((IFERROR('Global (product)'!K70*'Global (product)'!$L$5,0))+(IFERROR('Global (product)'!M70*'Global (product)'!$L$4,0))))</f>
        <v>1.3583298707259264E-3</v>
      </c>
      <c r="AL74" s="56">
        <f>'South America (product)'!I70</f>
        <v>8.1021521364376039E-3</v>
      </c>
      <c r="AM74" s="66">
        <f>'Oceania (product)'!I70</f>
        <v>0</v>
      </c>
      <c r="AN74" s="72">
        <f>'NAM (product)'!I70</f>
        <v>1.0712118057385847E-3</v>
      </c>
      <c r="AO74" s="251">
        <f>'Canada (product)'!I70</f>
        <v>2.7876770844755401E-4</v>
      </c>
      <c r="AP74" s="72">
        <f>'Europe (product)'!I70</f>
        <v>6.6750880726074591E-3</v>
      </c>
      <c r="AQ74" s="66">
        <f>'GCC (product)'!I70</f>
        <v>0</v>
      </c>
      <c r="AR74" s="255">
        <f>'Russia and Other Euro (product)'!I70</f>
        <v>3.0990140889547825E-6</v>
      </c>
      <c r="AS74" s="69">
        <f>'Africa (product)'!I70</f>
        <v>0</v>
      </c>
      <c r="AT74" s="69">
        <f>'Other Asia (product)'!I70</f>
        <v>0</v>
      </c>
      <c r="AU74" s="77" t="s">
        <v>100</v>
      </c>
      <c r="AV74" s="54"/>
      <c r="AW74" s="56">
        <f>'Global (product)'!O70</f>
        <v>1.20446872998476E-2</v>
      </c>
      <c r="AX74" s="66">
        <f>'South America (product)'!K70</f>
        <v>0</v>
      </c>
      <c r="AY74" s="56">
        <f>'Oceania (product)'!K70</f>
        <v>9.2776656909881461E-2</v>
      </c>
      <c r="AZ74" s="72">
        <f>'NAM (product)'!K70</f>
        <v>9.4037467288565497E-4</v>
      </c>
      <c r="BA74" s="259">
        <f>'Canada (product)'!K70</f>
        <v>2.0888594267305101E-3</v>
      </c>
      <c r="BB74" s="261">
        <f>'Europe (product)'!K70</f>
        <v>2.01098726056317E-5</v>
      </c>
      <c r="BC74" s="72">
        <f>'GCC (product)'!K70</f>
        <v>1.14117753002301E-3</v>
      </c>
      <c r="BD74" s="66" t="str">
        <f>'Russia and Other Euro (product)'!K70</f>
        <v>nd</v>
      </c>
      <c r="BE74" s="107">
        <f>'Africa (product)'!K70</f>
        <v>5.0613190590001076E-4</v>
      </c>
      <c r="BF74" s="66">
        <f>'Other Asia (product)'!K70</f>
        <v>0</v>
      </c>
      <c r="BG74" s="66" t="s">
        <v>100</v>
      </c>
      <c r="BI74" s="67"/>
    </row>
    <row r="75" spans="1:61" ht="16">
      <c r="A75" s="47" t="s">
        <v>142</v>
      </c>
      <c r="B75" s="9" t="s">
        <v>143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2"/>
      <c r="N75" s="107">
        <f>'Global (product)'!E71*$N$11</f>
        <v>2.6016407799433279E-4</v>
      </c>
      <c r="O75" s="66">
        <f>'South America (product)'!$E71*$N$11</f>
        <v>0</v>
      </c>
      <c r="P75" s="66">
        <f>'South America (product)'!$E71*$N$11</f>
        <v>0</v>
      </c>
      <c r="Q75" s="72">
        <f>'NAM (product)'!$E71*$N$11</f>
        <v>3.2175638649301229E-3</v>
      </c>
      <c r="R75" s="66">
        <f>'Europe (product)'!$E71*$N$11</f>
        <v>0</v>
      </c>
      <c r="S75" s="69" t="s">
        <v>100</v>
      </c>
      <c r="T75" s="77" t="s">
        <v>100</v>
      </c>
      <c r="U75" s="77" t="s">
        <v>100</v>
      </c>
      <c r="V75" s="77" t="s">
        <v>100</v>
      </c>
      <c r="W75" s="77" t="s">
        <v>100</v>
      </c>
      <c r="X75" s="54"/>
      <c r="Y75" s="50"/>
      <c r="Z75" s="50"/>
      <c r="AA75" s="56"/>
      <c r="AB75" s="56"/>
      <c r="AC75" s="249"/>
      <c r="AD75" s="56"/>
      <c r="AE75" s="56"/>
      <c r="AF75" s="56"/>
      <c r="AG75" s="56"/>
      <c r="AH75" s="66"/>
      <c r="AI75" s="56"/>
      <c r="AJ75" s="54"/>
      <c r="AK75" s="65"/>
      <c r="AL75" s="65"/>
      <c r="AM75" s="56"/>
      <c r="AN75" s="56"/>
      <c r="AO75" s="249"/>
      <c r="AP75" s="63"/>
      <c r="AQ75" s="63"/>
      <c r="AR75" s="254"/>
      <c r="AS75" s="77"/>
      <c r="AT75" s="85"/>
      <c r="AU75" s="65"/>
      <c r="AV75" s="54"/>
      <c r="AW75" s="56"/>
      <c r="AX75" s="56"/>
      <c r="AY75" s="56"/>
      <c r="AZ75" s="56"/>
      <c r="BA75" s="51"/>
      <c r="BB75" s="56"/>
      <c r="BC75" s="56"/>
      <c r="BD75" s="56"/>
      <c r="BE75" s="56"/>
      <c r="BF75" s="56"/>
      <c r="BG75" s="56"/>
      <c r="BI75" s="67"/>
    </row>
    <row r="76" spans="1:61" ht="16">
      <c r="A76" s="47" t="s">
        <v>155</v>
      </c>
      <c r="B76" s="9" t="s">
        <v>104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2"/>
      <c r="N76" s="50"/>
      <c r="O76" s="50"/>
      <c r="P76" s="50"/>
      <c r="Q76" s="50"/>
      <c r="R76" s="50"/>
      <c r="S76" s="55"/>
      <c r="T76" s="55"/>
      <c r="U76" s="55"/>
      <c r="V76" s="55"/>
      <c r="W76" s="55"/>
      <c r="X76" s="54"/>
      <c r="Y76" s="56">
        <f>(((IFERROR('Global (product)'!G72*'Global (product)'!$L$5,0))+(IFERROR('Global (product)'!I72*'Global (product)'!$L$4,0)))*$Y$11)</f>
        <v>3.8602436550763514E-3</v>
      </c>
      <c r="Z76" s="66">
        <f>'South America (product)'!G72*$Z$11</f>
        <v>0</v>
      </c>
      <c r="AA76" s="56" t="str">
        <f>'Oceania (product)'!G72</f>
        <v>nd</v>
      </c>
      <c r="AB76" s="66">
        <f>'NAM (product)'!G72*$AB$11</f>
        <v>0</v>
      </c>
      <c r="AC76" s="247">
        <f>'Canada (product)'!G72*$AC$11</f>
        <v>0</v>
      </c>
      <c r="AD76" s="56">
        <f>'Europe (product)'!G72*$AD$11</f>
        <v>1.1938197754828557E-2</v>
      </c>
      <c r="AE76" s="66">
        <f>'GCC (product)'!G72*$AE$11</f>
        <v>0</v>
      </c>
      <c r="AF76" s="66" t="str">
        <f>'Russia and Other Euro (product)'!G72</f>
        <v>nd</v>
      </c>
      <c r="AG76" s="77" t="s">
        <v>100</v>
      </c>
      <c r="AH76" s="66">
        <f>'Other Asia (product)'!G72*$AH$11</f>
        <v>0</v>
      </c>
      <c r="AI76" s="77" t="s">
        <v>100</v>
      </c>
      <c r="AJ76" s="54"/>
      <c r="AK76" s="56">
        <f>(((IFERROR('Global (product)'!K72*'Global (product)'!$L$5,0))+(IFERROR('Global (product)'!M72*'Global (product)'!$L$4,0))))</f>
        <v>0.29671038763704016</v>
      </c>
      <c r="AL76" s="56">
        <f>'South America (product)'!I72</f>
        <v>5.0512249106061547E-3</v>
      </c>
      <c r="AM76" s="56">
        <f>'Oceania (product)'!I72</f>
        <v>3.7736006688890864E-2</v>
      </c>
      <c r="AN76" s="56">
        <f>'NAM (product)'!I72</f>
        <v>2.9511117703292813E-2</v>
      </c>
      <c r="AO76" s="249">
        <f>'Canada (product)'!I72</f>
        <v>2.2124977311760701E-2</v>
      </c>
      <c r="AP76" s="63">
        <f>'Europe (product)'!I72</f>
        <v>0.32243099913632017</v>
      </c>
      <c r="AQ76" s="63">
        <f>'GCC (product)'!I72</f>
        <v>1.25204158015529</v>
      </c>
      <c r="AR76" s="254">
        <f>'Russia and Other Euro (product)'!I72</f>
        <v>5.6040504775265646E-5</v>
      </c>
      <c r="AS76" s="85">
        <f>'Africa (product)'!I72</f>
        <v>5.1986171922580923E-3</v>
      </c>
      <c r="AT76" s="85">
        <f>'Other Asia (product)'!I72</f>
        <v>1.5997525978253117E-3</v>
      </c>
      <c r="AU76" s="77" t="s">
        <v>100</v>
      </c>
      <c r="AV76" s="54"/>
      <c r="AW76" s="56"/>
      <c r="AX76" s="56"/>
      <c r="AY76" s="56"/>
      <c r="AZ76" s="56"/>
      <c r="BA76" s="51"/>
      <c r="BB76" s="56"/>
      <c r="BC76" s="56"/>
      <c r="BD76" s="56"/>
      <c r="BE76" s="56"/>
      <c r="BF76" s="56"/>
      <c r="BG76" s="56"/>
      <c r="BI76" s="67"/>
    </row>
    <row r="77" spans="1:61" ht="16">
      <c r="A77" s="47" t="s">
        <v>156</v>
      </c>
      <c r="B77" s="9" t="s">
        <v>143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2"/>
      <c r="N77" s="50"/>
      <c r="O77" s="50"/>
      <c r="P77" s="50"/>
      <c r="Q77" s="50"/>
      <c r="R77" s="50"/>
      <c r="S77" s="55"/>
      <c r="T77" s="55"/>
      <c r="U77" s="55"/>
      <c r="V77" s="55"/>
      <c r="W77" s="55"/>
      <c r="X77" s="54"/>
      <c r="Y77" s="72">
        <f>(((IFERROR('Global (product)'!G73*'Global (product)'!$L$5,0))+(IFERROR('Global (product)'!I73*'Global (product)'!$L$4,0)))*$Y$11)</f>
        <v>1.8908448209954336E-2</v>
      </c>
      <c r="Z77" s="66">
        <f>'South America (product)'!G73*$Z$11</f>
        <v>0</v>
      </c>
      <c r="AA77" s="56" t="str">
        <f>'Oceania (product)'!G73</f>
        <v>nd</v>
      </c>
      <c r="AB77" s="107">
        <f>'NAM (product)'!G73*$AB$11</f>
        <v>4.0887971705055843E-4</v>
      </c>
      <c r="AC77" s="251">
        <f>'Canada (product)'!G73*$AC$11</f>
        <v>4.8296950324481147E-4</v>
      </c>
      <c r="AD77" s="56">
        <f>'Europe (product)'!G73*$AD$11</f>
        <v>5.3595650168966079E-2</v>
      </c>
      <c r="AE77" s="66">
        <f>'GCC (product)'!G73*$AE$11</f>
        <v>0</v>
      </c>
      <c r="AF77" s="66" t="str">
        <f>'Russia and Other Euro (product)'!G73</f>
        <v>nd</v>
      </c>
      <c r="AG77" s="77" t="s">
        <v>100</v>
      </c>
      <c r="AH77" s="66">
        <f>'Other Asia (product)'!G73*$AH$11</f>
        <v>0</v>
      </c>
      <c r="AI77" s="77" t="s">
        <v>100</v>
      </c>
      <c r="AJ77" s="54"/>
      <c r="AK77" s="56">
        <f>(((IFERROR('Global (product)'!K73*'Global (product)'!$L$5,0))+(IFERROR('Global (product)'!M73*'Global (product)'!$L$4,0))))</f>
        <v>1.8763731531450216E-2</v>
      </c>
      <c r="AL77" s="72">
        <f>'South America (product)'!I73</f>
        <v>1.3566687767399416E-3</v>
      </c>
      <c r="AM77" s="66">
        <f>'Oceania (product)'!I73</f>
        <v>0</v>
      </c>
      <c r="AN77" s="107">
        <f>'NAM (product)'!I73</f>
        <v>1.1028204787802659E-4</v>
      </c>
      <c r="AO77" s="251">
        <f>'Canada (product)'!I73</f>
        <v>1.24707601975665E-4</v>
      </c>
      <c r="AP77" s="63">
        <f>'Europe (product)'!I73</f>
        <v>0.54663201496942915</v>
      </c>
      <c r="AQ77" s="66">
        <f>'GCC (product)'!I73</f>
        <v>0</v>
      </c>
      <c r="AR77" s="69">
        <f>'Russia and Other Euro (product)'!I73</f>
        <v>0</v>
      </c>
      <c r="AS77" s="69">
        <f>'Africa (product)'!I73</f>
        <v>0</v>
      </c>
      <c r="AT77" s="69">
        <f>'Other Asia (product)'!I73</f>
        <v>0</v>
      </c>
      <c r="AU77" s="77" t="s">
        <v>100</v>
      </c>
      <c r="AV77" s="54"/>
      <c r="AW77" s="56"/>
      <c r="AX77" s="56"/>
      <c r="AY77" s="56"/>
      <c r="AZ77" s="56"/>
      <c r="BA77" s="51"/>
      <c r="BB77" s="56"/>
      <c r="BC77" s="56"/>
      <c r="BD77" s="56"/>
      <c r="BE77" s="56"/>
      <c r="BF77" s="56"/>
      <c r="BG77" s="56"/>
      <c r="BI77" s="67"/>
    </row>
    <row r="78" spans="1:61">
      <c r="A78" s="47"/>
      <c r="B78" s="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2"/>
      <c r="N78" s="50"/>
      <c r="O78" s="50"/>
      <c r="P78" s="50"/>
      <c r="Q78" s="50"/>
      <c r="R78" s="50"/>
      <c r="S78" s="55"/>
      <c r="T78" s="55"/>
      <c r="U78" s="55"/>
      <c r="V78" s="55"/>
      <c r="W78" s="55"/>
      <c r="X78" s="54"/>
      <c r="Y78" s="50"/>
      <c r="Z78" s="50"/>
      <c r="AA78" s="50"/>
      <c r="AB78" s="50"/>
      <c r="AC78" s="161"/>
      <c r="AD78" s="50"/>
      <c r="AE78" s="50"/>
      <c r="AF78" s="50"/>
      <c r="AG78" s="50"/>
      <c r="AH78" s="50"/>
      <c r="AI78" s="50"/>
      <c r="AJ78" s="54"/>
      <c r="AK78" s="50"/>
      <c r="AL78" s="50"/>
      <c r="AM78" s="50"/>
      <c r="AN78" s="50"/>
      <c r="AO78" s="161"/>
      <c r="AP78" s="50"/>
      <c r="AQ78" s="50"/>
      <c r="AR78" s="50"/>
      <c r="AS78" s="50"/>
      <c r="AT78" s="50"/>
      <c r="AU78" s="50"/>
      <c r="AV78" s="54"/>
      <c r="AW78" s="56"/>
      <c r="AX78" s="56"/>
      <c r="AY78" s="56"/>
      <c r="AZ78" s="56"/>
      <c r="BA78" s="51"/>
      <c r="BB78" s="56"/>
      <c r="BC78" s="56"/>
      <c r="BD78" s="56"/>
      <c r="BE78" s="56"/>
      <c r="BF78" s="56"/>
      <c r="BG78" s="56"/>
      <c r="BI78" s="67"/>
    </row>
    <row r="79" spans="1:61">
      <c r="A79" s="45" t="s">
        <v>157</v>
      </c>
      <c r="B79" s="44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2"/>
      <c r="N79" s="50"/>
      <c r="O79" s="50"/>
      <c r="P79" s="50"/>
      <c r="Q79" s="50"/>
      <c r="R79" s="50"/>
      <c r="S79" s="55"/>
      <c r="T79" s="55"/>
      <c r="U79" s="55"/>
      <c r="V79" s="55"/>
      <c r="W79" s="55"/>
      <c r="X79" s="54"/>
      <c r="Y79" s="50"/>
      <c r="Z79" s="50"/>
      <c r="AA79" s="50"/>
      <c r="AB79" s="50"/>
      <c r="AC79" s="161"/>
      <c r="AD79" s="50"/>
      <c r="AE79" s="50"/>
      <c r="AF79" s="50"/>
      <c r="AG79" s="50"/>
      <c r="AH79" s="50"/>
      <c r="AI79" s="50"/>
      <c r="AJ79" s="54"/>
      <c r="AK79" s="50"/>
      <c r="AL79" s="50"/>
      <c r="AM79" s="50"/>
      <c r="AN79" s="50"/>
      <c r="AO79" s="161"/>
      <c r="AP79" s="50"/>
      <c r="AQ79" s="50"/>
      <c r="AR79" s="50"/>
      <c r="AS79" s="50"/>
      <c r="AT79" s="50"/>
      <c r="AU79" s="50"/>
      <c r="AV79" s="54"/>
      <c r="AW79" s="56"/>
      <c r="AX79" s="56"/>
      <c r="AY79" s="56"/>
      <c r="AZ79" s="56"/>
      <c r="BA79" s="51"/>
      <c r="BB79" s="56"/>
      <c r="BC79" s="56"/>
      <c r="BD79" s="56"/>
      <c r="BE79" s="56"/>
      <c r="BF79" s="56"/>
      <c r="BG79" s="56"/>
      <c r="BI79" s="67"/>
    </row>
    <row r="80" spans="1:61" ht="16">
      <c r="A80" s="47" t="s">
        <v>158</v>
      </c>
      <c r="B80" s="9" t="s">
        <v>104</v>
      </c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2"/>
      <c r="N80" s="66">
        <f>'Global (product)'!E76*$N$11</f>
        <v>22.583215880207334</v>
      </c>
      <c r="O80" s="63">
        <f>'South America (product)'!$E$76*O11</f>
        <v>0.49293576261169236</v>
      </c>
      <c r="P80" s="66">
        <f>'Oceania (product)'!$E$76*P11</f>
        <v>15.849892156891814</v>
      </c>
      <c r="Q80" s="66">
        <f>'NAM (product)'!$E$76*Q11</f>
        <v>0</v>
      </c>
      <c r="R80" s="66">
        <f>'Europe (product)'!$E$76*R11</f>
        <v>54.693725426575924</v>
      </c>
      <c r="S80" s="69">
        <f>'Russia and Other Euro (product)'!E76*$S$11</f>
        <v>54.601702947770214</v>
      </c>
      <c r="T80" s="77" t="s">
        <v>100</v>
      </c>
      <c r="U80" s="77" t="s">
        <v>100</v>
      </c>
      <c r="V80" s="69">
        <f>'Other Asia (product)'!E76*V11</f>
        <v>140.66469827952068</v>
      </c>
      <c r="W80" s="77" t="s">
        <v>100</v>
      </c>
      <c r="X80" s="54"/>
      <c r="Y80" s="50"/>
      <c r="Z80" s="50"/>
      <c r="AA80" s="50"/>
      <c r="AB80" s="50"/>
      <c r="AC80" s="161"/>
      <c r="AD80" s="50"/>
      <c r="AE80" s="50"/>
      <c r="AF80" s="50"/>
      <c r="AG80" s="50"/>
      <c r="AH80" s="50"/>
      <c r="AI80" s="50"/>
      <c r="AJ80" s="54"/>
      <c r="AK80" s="50"/>
      <c r="AL80" s="50"/>
      <c r="AM80" s="50"/>
      <c r="AN80" s="50"/>
      <c r="AO80" s="161"/>
      <c r="AP80" s="50"/>
      <c r="AQ80" s="50"/>
      <c r="AR80" s="77"/>
      <c r="AS80" s="50"/>
      <c r="AT80" s="50"/>
      <c r="AU80" s="50"/>
      <c r="AV80" s="54"/>
      <c r="AW80" s="56"/>
      <c r="AX80" s="56"/>
      <c r="AY80" s="56"/>
      <c r="AZ80" s="56"/>
      <c r="BA80" s="51"/>
      <c r="BB80" s="56"/>
      <c r="BC80" s="56"/>
      <c r="BD80" s="56"/>
      <c r="BE80" s="56"/>
      <c r="BF80" s="56"/>
      <c r="BG80" s="56"/>
      <c r="BI80" s="67"/>
    </row>
    <row r="81" spans="1:61" ht="16">
      <c r="A81" s="47" t="s">
        <v>159</v>
      </c>
      <c r="B81" s="9" t="s">
        <v>104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2"/>
      <c r="N81" s="50"/>
      <c r="O81" s="50"/>
      <c r="P81" s="50"/>
      <c r="Q81" s="50"/>
      <c r="R81" s="50"/>
      <c r="S81" s="55"/>
      <c r="T81" s="55"/>
      <c r="U81" s="55"/>
      <c r="V81" s="55"/>
      <c r="W81" s="55"/>
      <c r="X81" s="54"/>
      <c r="Y81" s="50"/>
      <c r="Z81" s="50"/>
      <c r="AA81" s="50"/>
      <c r="AB81" s="50"/>
      <c r="AC81" s="161"/>
      <c r="AD81" s="50"/>
      <c r="AE81" s="50"/>
      <c r="AF81" s="50"/>
      <c r="AG81" s="50"/>
      <c r="AH81" s="50"/>
      <c r="AI81" s="50"/>
      <c r="AJ81" s="54"/>
      <c r="AK81" s="66">
        <f>'Global (product)'!M77</f>
        <v>4.7493437843506747</v>
      </c>
      <c r="AL81" s="66">
        <f>'South America (product)'!I77</f>
        <v>5.8496087104992762</v>
      </c>
      <c r="AM81" s="66">
        <f>'Oceania (product)'!I77</f>
        <v>1.8107171085406719</v>
      </c>
      <c r="AN81" s="66">
        <f>'NAM (product)'!I77</f>
        <v>3.5343082901282767</v>
      </c>
      <c r="AO81" s="247">
        <f>'Canada (product)'!I77</f>
        <v>4.1994333369432679</v>
      </c>
      <c r="AP81" s="66">
        <f>'Europe (product)'!I77</f>
        <v>2.5963819982078586</v>
      </c>
      <c r="AQ81" s="66">
        <f>'GCC (product)'!I77</f>
        <v>7.5490496557530946</v>
      </c>
      <c r="AR81" s="77">
        <f>'Russia and Other Euro (product)'!I77</f>
        <v>6.5159475110066909</v>
      </c>
      <c r="AS81" s="69">
        <f>'Africa (product)'!I77</f>
        <v>0</v>
      </c>
      <c r="AT81" s="69">
        <f>'Other Asia (product)'!I77</f>
        <v>7.9135913873527191</v>
      </c>
      <c r="AU81" s="77" t="s">
        <v>100</v>
      </c>
      <c r="AV81" s="54"/>
      <c r="AW81" s="56"/>
      <c r="AX81" s="56"/>
      <c r="AY81" s="56"/>
      <c r="AZ81" s="56"/>
      <c r="BA81" s="51"/>
      <c r="BB81" s="56"/>
      <c r="BC81" s="56"/>
      <c r="BD81" s="56"/>
      <c r="BE81" s="56"/>
      <c r="BF81" s="56"/>
      <c r="BG81" s="56"/>
      <c r="BI81" s="67"/>
    </row>
    <row r="82" spans="1:61" ht="16">
      <c r="A82" s="47" t="s">
        <v>160</v>
      </c>
      <c r="B82" s="9" t="s">
        <v>104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2"/>
      <c r="N82" s="50"/>
      <c r="O82" s="50"/>
      <c r="P82" s="50"/>
      <c r="Q82" s="50"/>
      <c r="R82" s="50"/>
      <c r="S82" s="55"/>
      <c r="T82" s="55"/>
      <c r="U82" s="55"/>
      <c r="V82" s="55"/>
      <c r="W82" s="55"/>
      <c r="X82" s="54"/>
      <c r="Y82" s="50"/>
      <c r="Z82" s="50"/>
      <c r="AA82" s="50"/>
      <c r="AB82" s="50"/>
      <c r="AC82" s="161"/>
      <c r="AD82" s="50"/>
      <c r="AE82" s="50"/>
      <c r="AF82" s="50"/>
      <c r="AG82" s="50"/>
      <c r="AH82" s="50"/>
      <c r="AI82" s="50"/>
      <c r="AJ82" s="54"/>
      <c r="AK82" s="66">
        <f>'Global (product)'!M78</f>
        <v>5.2222507348988767</v>
      </c>
      <c r="AL82" s="66">
        <f>'South America (product)'!I78</f>
        <v>13.55013921764877</v>
      </c>
      <c r="AM82" s="66">
        <f>'Oceania (product)'!I78</f>
        <v>7.478439928593084</v>
      </c>
      <c r="AN82" s="66">
        <f>'NAM (product)'!I78</f>
        <v>3.8531862176143843</v>
      </c>
      <c r="AO82" s="247">
        <f>'Canada (product)'!I78</f>
        <v>4.5783212236736963</v>
      </c>
      <c r="AP82" s="66">
        <f>'Europe (product)'!I78</f>
        <v>1.0415374960092711</v>
      </c>
      <c r="AQ82" s="66">
        <f>'GCC (product)'!I78</f>
        <v>5.2635913567556285</v>
      </c>
      <c r="AR82" s="77">
        <f>'Russia and Other Euro (product)'!I78</f>
        <v>0.24840147430017057</v>
      </c>
      <c r="AS82" s="69">
        <f>'Africa (product)'!I78</f>
        <v>0</v>
      </c>
      <c r="AT82" s="69">
        <f>'Other Asia (product)'!I78</f>
        <v>5.3726866771695994</v>
      </c>
      <c r="AU82" s="77" t="s">
        <v>100</v>
      </c>
      <c r="AV82" s="54"/>
      <c r="AW82" s="56"/>
      <c r="AX82" s="56"/>
      <c r="AY82" s="56"/>
      <c r="AZ82" s="56"/>
      <c r="BA82" s="51"/>
      <c r="BB82" s="56"/>
      <c r="BC82" s="56"/>
      <c r="BD82" s="56"/>
      <c r="BE82" s="56"/>
      <c r="BF82" s="56"/>
      <c r="BG82" s="56"/>
      <c r="BI82" s="67"/>
    </row>
    <row r="83" spans="1:61" ht="16">
      <c r="A83" s="47" t="s">
        <v>161</v>
      </c>
      <c r="B83" s="9" t="s">
        <v>104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2"/>
      <c r="N83" s="50"/>
      <c r="O83" s="50"/>
      <c r="P83" s="50"/>
      <c r="Q83" s="50"/>
      <c r="R83" s="50"/>
      <c r="S83" s="55"/>
      <c r="T83" s="55"/>
      <c r="U83" s="55"/>
      <c r="V83" s="55"/>
      <c r="W83" s="55"/>
      <c r="X83" s="54"/>
      <c r="Y83" s="63">
        <f>(((IFERROR('Global (product)'!G79*'Global (product)'!$L$5,0))+(IFERROR('Global (product)'!I79*'Global (product)'!$L$4,0)))*$Y$11)</f>
        <v>1.2576652830522166</v>
      </c>
      <c r="Z83" s="63">
        <f>'South America (product)'!G79*$Z$11</f>
        <v>1.1047450836235786</v>
      </c>
      <c r="AA83" s="66">
        <f>'Oceania (product)'!G79*$AA$11</f>
        <v>0</v>
      </c>
      <c r="AB83" s="63">
        <f>'NAM (product)'!G79*$AB$11</f>
        <v>0.61156975805583835</v>
      </c>
      <c r="AC83" s="248">
        <f>'Canada (product)'!G79*$AC$11</f>
        <v>0.82982144438284178</v>
      </c>
      <c r="AD83" s="63">
        <f>'Europe (product)'!G79*$AD$11</f>
        <v>1.5561077484192349</v>
      </c>
      <c r="AE83" s="56">
        <f>'GCC (product)'!G79*$AE$11</f>
        <v>3.6372686249020091E-2</v>
      </c>
      <c r="AF83" s="66">
        <f>'Russia and Other Euro (product)'!G79*$AF$11</f>
        <v>2.5270142367370552</v>
      </c>
      <c r="AG83" s="66">
        <f>'Africa (product)'!G79*$AG$11</f>
        <v>3.4511460597380355</v>
      </c>
      <c r="AH83" s="56">
        <f>'Other Asia (product)'!G79*$AH$11</f>
        <v>1.4083729371633453E-2</v>
      </c>
      <c r="AI83" s="77" t="s">
        <v>100</v>
      </c>
      <c r="AJ83" s="54"/>
      <c r="AK83" s="66">
        <f>(((IFERROR('Global (product)'!K79*'Global (product)'!$L$5,0))+(IFERROR('Global (product)'!M79*'Global (product)'!$L$4,0))))</f>
        <v>0.6664547177770912</v>
      </c>
      <c r="AL83" s="66">
        <f>'South America (product)'!I79</f>
        <v>4.5613879931497756</v>
      </c>
      <c r="AM83" s="66">
        <f>'Oceania (product)'!I79</f>
        <v>2.6434223923251614</v>
      </c>
      <c r="AN83" s="63">
        <f>'NAM (product)'!I79</f>
        <v>0.19477157252168761</v>
      </c>
      <c r="AO83" s="248">
        <f>'Canada (product)'!I79</f>
        <v>0.23190100237347394</v>
      </c>
      <c r="AP83" s="63">
        <f>'Europe (product)'!I79</f>
        <v>5.8117858316383837E-2</v>
      </c>
      <c r="AQ83" s="66">
        <f>'GCC (product)'!I79</f>
        <v>0</v>
      </c>
      <c r="AR83" s="69">
        <f>'Russia and Other Euro (product)'!I79</f>
        <v>0</v>
      </c>
      <c r="AS83" s="69">
        <f>'Africa (product)'!I79</f>
        <v>0</v>
      </c>
      <c r="AT83" s="69">
        <f>'Other Asia (product)'!I79</f>
        <v>1.2883571652228369</v>
      </c>
      <c r="AU83" s="77" t="s">
        <v>100</v>
      </c>
      <c r="AV83" s="54"/>
      <c r="AW83" s="63">
        <f>'Global (product)'!O79</f>
        <v>0.144659927933697</v>
      </c>
      <c r="AX83" s="63">
        <f>'South America (product)'!K79</f>
        <v>1.0298574991549374</v>
      </c>
      <c r="AY83" s="66">
        <f>'Oceania (product)'!K79</f>
        <v>0</v>
      </c>
      <c r="AZ83" s="63">
        <f>'NAM (product)'!K79</f>
        <v>0.16846402331650917</v>
      </c>
      <c r="BA83" s="51">
        <f>'Canada (product)'!K79</f>
        <v>7.3258003365324897E-2</v>
      </c>
      <c r="BB83" s="63">
        <f>'Europe (product)'!K79</f>
        <v>0.144363759216037</v>
      </c>
      <c r="BC83" s="66">
        <f>'GCC (product)'!K79</f>
        <v>0</v>
      </c>
      <c r="BD83" s="63">
        <f>'Russia and Other Euro (product)'!K79</f>
        <v>0.15514727827194136</v>
      </c>
      <c r="BE83" s="56">
        <f>'Africa (product)'!K79</f>
        <v>5.5301089687031402E-2</v>
      </c>
      <c r="BF83" s="66">
        <f>'Other Asia (product)'!K79</f>
        <v>0</v>
      </c>
      <c r="BG83" s="56" t="s">
        <v>100</v>
      </c>
      <c r="BI83" s="67"/>
    </row>
    <row r="84" spans="1:61" ht="16">
      <c r="A84" s="47" t="s">
        <v>112</v>
      </c>
      <c r="B84" s="9" t="s">
        <v>104</v>
      </c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2"/>
      <c r="N84" s="50"/>
      <c r="O84" s="50"/>
      <c r="P84" s="50"/>
      <c r="Q84" s="50"/>
      <c r="R84" s="50"/>
      <c r="S84" s="55"/>
      <c r="T84" s="55"/>
      <c r="U84" s="55"/>
      <c r="V84" s="55"/>
      <c r="W84" s="55"/>
      <c r="X84" s="54"/>
      <c r="Y84" s="63">
        <f>(((IFERROR('Global (product)'!G80*'Global (product)'!$L$5,0))+(IFERROR('Global (product)'!I80*'Global (product)'!$L$4,0)))*$Y$11)</f>
        <v>0.33267664847098422</v>
      </c>
      <c r="Z84" s="63">
        <f>'South America (product)'!G80*$Z$11</f>
        <v>1.8594765733449161</v>
      </c>
      <c r="AA84" s="63" t="str">
        <f>'Oceania (product)'!G80</f>
        <v>nd</v>
      </c>
      <c r="AB84" s="63">
        <f>'NAM (product)'!G80*$AB$11</f>
        <v>0.38054428429520165</v>
      </c>
      <c r="AC84" s="248">
        <f>'Canada (product)'!G80*$AC$11</f>
        <v>0.42371358631451372</v>
      </c>
      <c r="AD84" s="63">
        <f>'Europe (product)'!G80*$AD$11</f>
        <v>0.28004284002462976</v>
      </c>
      <c r="AE84" s="56">
        <f>'GCC (product)'!G80*$AE$11</f>
        <v>8.0787157394795139E-2</v>
      </c>
      <c r="AF84" s="66" t="str">
        <f>'Russia and Other Euro (product)'!G80</f>
        <v>nd</v>
      </c>
      <c r="AG84" s="63">
        <f>'Africa (product)'!G80*$AG$11</f>
        <v>0.16217017488317415</v>
      </c>
      <c r="AH84" s="63">
        <f>'Other Asia (product)'!G80*$AH$11</f>
        <v>0.52759816953734551</v>
      </c>
      <c r="AI84" s="77" t="s">
        <v>100</v>
      </c>
      <c r="AJ84" s="54"/>
      <c r="AK84" s="66">
        <f>(((IFERROR('Global (product)'!K80*'Global (product)'!$L$5,0))+(IFERROR('Global (product)'!M80*'Global (product)'!$L$4,0))))</f>
        <v>8.3660363463114624</v>
      </c>
      <c r="AL84" s="66">
        <f>'South America (product)'!I80</f>
        <v>5.3534780938891462</v>
      </c>
      <c r="AM84" s="66">
        <f>'Oceania (product)'!I80</f>
        <v>1.8495112388734398</v>
      </c>
      <c r="AN84" s="66">
        <f>'NAM (product)'!I80</f>
        <v>5.4335488848068358</v>
      </c>
      <c r="AO84" s="247">
        <f>'Canada (product)'!I80</f>
        <v>5.2566930013539599</v>
      </c>
      <c r="AP84" s="66">
        <f>'Europe (product)'!I80</f>
        <v>4.6364732629456</v>
      </c>
      <c r="AQ84" s="66">
        <f>'GCC (product)'!I80</f>
        <v>6.0767731278771597</v>
      </c>
      <c r="AR84" s="77">
        <f>'Russia and Other Euro (product)'!I80</f>
        <v>29.154442734718369</v>
      </c>
      <c r="AS84" s="77">
        <f>'Africa (product)'!I80</f>
        <v>4.5183013595825132</v>
      </c>
      <c r="AT84" s="69">
        <f>'Other Asia (product)'!I80</f>
        <v>4.3021344327314477</v>
      </c>
      <c r="AU84" s="77" t="s">
        <v>100</v>
      </c>
      <c r="AV84" s="54"/>
      <c r="AW84" s="63"/>
      <c r="AX84" s="63"/>
      <c r="AY84" s="63"/>
      <c r="AZ84" s="63"/>
      <c r="BA84" s="51"/>
      <c r="BB84" s="63"/>
      <c r="BC84" s="63"/>
      <c r="BD84" s="56"/>
      <c r="BE84" s="56"/>
      <c r="BF84" s="56"/>
      <c r="BG84" s="56"/>
      <c r="BI84" s="67"/>
    </row>
    <row r="85" spans="1:61" ht="16">
      <c r="A85" s="47" t="s">
        <v>162</v>
      </c>
      <c r="B85" s="9" t="s">
        <v>104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2"/>
      <c r="N85" s="50"/>
      <c r="O85" s="50"/>
      <c r="P85" s="50"/>
      <c r="Q85" s="50"/>
      <c r="R85" s="50"/>
      <c r="S85" s="55"/>
      <c r="T85" s="55"/>
      <c r="U85" s="55"/>
      <c r="V85" s="55"/>
      <c r="W85" s="55"/>
      <c r="X85" s="54"/>
      <c r="Y85" s="50"/>
      <c r="Z85" s="50"/>
      <c r="AA85" s="50"/>
      <c r="AB85" s="50"/>
      <c r="AC85" s="248"/>
      <c r="AD85" s="50"/>
      <c r="AE85" s="63"/>
      <c r="AF85" s="50"/>
      <c r="AG85" s="63"/>
      <c r="AH85" s="63"/>
      <c r="AI85" s="50"/>
      <c r="AJ85" s="54"/>
      <c r="AK85" s="50"/>
      <c r="AL85" s="50"/>
      <c r="AM85" s="50"/>
      <c r="AN85" s="50"/>
      <c r="AO85" s="161"/>
      <c r="AP85" s="50"/>
      <c r="AQ85" s="50"/>
      <c r="AR85" s="50"/>
      <c r="AS85" s="50"/>
      <c r="AT85" s="50"/>
      <c r="AU85" s="50"/>
      <c r="AV85" s="54"/>
      <c r="AW85" s="63">
        <f>'Global (product)'!O81</f>
        <v>10.860813319626301</v>
      </c>
      <c r="AX85" s="63">
        <f>'South America (product)'!K81</f>
        <v>11.840259923635553</v>
      </c>
      <c r="AY85" s="63">
        <f>'Oceania (product)'!K81</f>
        <v>6.414855010885268</v>
      </c>
      <c r="AZ85" s="63">
        <f>'NAM (product)'!K81</f>
        <v>17.436771600846551</v>
      </c>
      <c r="BA85" s="58">
        <f>'Canada (product)'!K81</f>
        <v>12.118942645769399</v>
      </c>
      <c r="BB85" s="63">
        <f>'Europe (product)'!K81</f>
        <v>14.3665788722003</v>
      </c>
      <c r="BC85" s="63">
        <f>'GCC (product)'!K81</f>
        <v>10.404778051143801</v>
      </c>
      <c r="BD85" s="63">
        <f>'Russia and Other Euro (product)'!K81</f>
        <v>7.2813965476482387</v>
      </c>
      <c r="BE85" s="63">
        <f>'Africa (product)'!K81</f>
        <v>7.7134678766331879</v>
      </c>
      <c r="BF85" s="63">
        <f>'Other Asia (product)'!K81</f>
        <v>4.4593722189269869</v>
      </c>
      <c r="BG85" s="56" t="s">
        <v>100</v>
      </c>
      <c r="BI85" s="67"/>
    </row>
    <row r="86" spans="1:61" ht="16">
      <c r="A86" s="47" t="s">
        <v>163</v>
      </c>
      <c r="B86" s="9" t="s">
        <v>104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2"/>
      <c r="N86" s="50"/>
      <c r="O86" s="50"/>
      <c r="P86" s="50"/>
      <c r="Q86" s="50"/>
      <c r="R86" s="50"/>
      <c r="S86" s="55"/>
      <c r="T86" s="55"/>
      <c r="U86" s="55"/>
      <c r="V86" s="55"/>
      <c r="W86" s="55"/>
      <c r="X86" s="54"/>
      <c r="Y86" s="50"/>
      <c r="Z86" s="50"/>
      <c r="AA86" s="50"/>
      <c r="AB86" s="50"/>
      <c r="AC86" s="248"/>
      <c r="AD86" s="50"/>
      <c r="AE86" s="63"/>
      <c r="AF86" s="50"/>
      <c r="AG86" s="63"/>
      <c r="AH86" s="63"/>
      <c r="AI86" s="50"/>
      <c r="AJ86" s="54"/>
      <c r="AK86" s="50"/>
      <c r="AL86" s="50"/>
      <c r="AM86" s="50"/>
      <c r="AN86" s="50"/>
      <c r="AO86" s="161"/>
      <c r="AP86" s="50"/>
      <c r="AQ86" s="50"/>
      <c r="AR86" s="50"/>
      <c r="AS86" s="50"/>
      <c r="AT86" s="50"/>
      <c r="AU86" s="50"/>
      <c r="AV86" s="54"/>
      <c r="AW86" s="63">
        <f>'Global (product)'!O82</f>
        <v>0.17078884325955801</v>
      </c>
      <c r="AX86" s="66">
        <f>'South America (product)'!K82</f>
        <v>0</v>
      </c>
      <c r="AY86" s="66">
        <f>'Oceania (product)'!K82</f>
        <v>0</v>
      </c>
      <c r="AZ86" s="66">
        <f>'NAM (product)'!K82</f>
        <v>0</v>
      </c>
      <c r="BA86" s="61">
        <f>'Canada (product)'!K82</f>
        <v>0</v>
      </c>
      <c r="BB86" s="63">
        <f>'Europe (product)'!K82</f>
        <v>0.27893543210955413</v>
      </c>
      <c r="BC86" s="63">
        <f>'GCC (product)'!K82</f>
        <v>1.0142887565888175</v>
      </c>
      <c r="BD86" s="66">
        <f>'Russia and Other Euro (product)'!K82</f>
        <v>0</v>
      </c>
      <c r="BE86" s="66">
        <f>'Africa (product)'!K82</f>
        <v>0</v>
      </c>
      <c r="BF86" s="63">
        <f>'Other Asia (product)'!K82</f>
        <v>0.13353749237482504</v>
      </c>
      <c r="BG86" s="56" t="s">
        <v>100</v>
      </c>
      <c r="BI86" s="67"/>
    </row>
    <row r="87" spans="1:61" ht="16">
      <c r="A87" s="47" t="s">
        <v>137</v>
      </c>
      <c r="B87" s="9" t="s">
        <v>104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2"/>
      <c r="N87" s="66">
        <f>'Global (product)'!E83*$N$11</f>
        <v>23.662205686392799</v>
      </c>
      <c r="O87" s="66" t="s">
        <v>100</v>
      </c>
      <c r="P87" s="66">
        <f>'Oceania (product)'!E83*P11</f>
        <v>0.7942091473237568</v>
      </c>
      <c r="Q87" s="66" t="s">
        <v>100</v>
      </c>
      <c r="R87" s="66">
        <f>'Europe (product)'!E83*R11</f>
        <v>0</v>
      </c>
      <c r="S87" s="69">
        <f>'Russia and Other Euro (product)'!E83*$S$11</f>
        <v>79.552202965256697</v>
      </c>
      <c r="T87" s="77" t="s">
        <v>100</v>
      </c>
      <c r="U87" s="77" t="s">
        <v>100</v>
      </c>
      <c r="V87" s="77" t="s">
        <v>100</v>
      </c>
      <c r="W87" s="77" t="s">
        <v>100</v>
      </c>
      <c r="X87" s="54"/>
      <c r="Y87" s="66">
        <f>(((IFERROR('Global (product)'!G83*'Global (product)'!$L$5,0))+(IFERROR('Global (product)'!I83*'Global (product)'!$L$4,0)))*$Y$11)</f>
        <v>0.62394163777445644</v>
      </c>
      <c r="Z87" s="66">
        <f>'South America (product)'!G83*$Z$11</f>
        <v>0</v>
      </c>
      <c r="AA87" s="66">
        <f>'Oceania (product)'!G83*$AA$11</f>
        <v>2.3816002270932425E-2</v>
      </c>
      <c r="AB87" s="66">
        <f>'NAM (product)'!G83*$AB$11</f>
        <v>1.0284586236870221</v>
      </c>
      <c r="AC87" s="248">
        <f>'Canada (product)'!G83*$AC$11</f>
        <v>1.2984393733209312</v>
      </c>
      <c r="AD87" s="63">
        <f>'Europe (product)'!G83*$AD$11</f>
        <v>1.845112876060333</v>
      </c>
      <c r="AE87" s="66">
        <f>'GCC (product)'!G83*$AE$11</f>
        <v>0</v>
      </c>
      <c r="AF87" s="66" t="str">
        <f>'Russia and Other Euro (product)'!G83</f>
        <v>nd</v>
      </c>
      <c r="AG87" s="63">
        <f>'Africa (product)'!G83*$AG$11</f>
        <v>0.38257022836030108</v>
      </c>
      <c r="AH87" s="66">
        <f>'Other Asia (product)'!G83*$AH$11</f>
        <v>0</v>
      </c>
      <c r="AI87" s="77" t="s">
        <v>100</v>
      </c>
      <c r="AJ87" s="54"/>
      <c r="AK87" s="50"/>
      <c r="AL87" s="50"/>
      <c r="AM87" s="50"/>
      <c r="AN87" s="50"/>
      <c r="AO87" s="161"/>
      <c r="AP87" s="50"/>
      <c r="AQ87" s="50"/>
      <c r="AR87" s="50"/>
      <c r="AS87" s="50"/>
      <c r="AT87" s="50"/>
      <c r="AU87" s="50"/>
      <c r="AV87" s="54"/>
      <c r="AW87" s="56"/>
      <c r="AX87" s="56"/>
      <c r="AY87" s="56"/>
      <c r="AZ87" s="56"/>
      <c r="BA87" s="51"/>
      <c r="BB87" s="56"/>
      <c r="BC87" s="56"/>
      <c r="BD87" s="56"/>
      <c r="BE87" s="56"/>
      <c r="BF87" s="56"/>
      <c r="BG87" s="56"/>
      <c r="BI87" s="67"/>
    </row>
    <row r="88" spans="1:61">
      <c r="A88" s="47"/>
      <c r="B88" s="9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2"/>
      <c r="N88" s="50"/>
      <c r="O88" s="50"/>
      <c r="P88" s="50"/>
      <c r="Q88" s="50"/>
      <c r="R88" s="50"/>
      <c r="S88" s="55"/>
      <c r="T88" s="55"/>
      <c r="U88" s="55"/>
      <c r="V88" s="55"/>
      <c r="W88" s="55"/>
      <c r="X88" s="54"/>
      <c r="Y88" s="50"/>
      <c r="Z88" s="50"/>
      <c r="AA88" s="50"/>
      <c r="AB88" s="50"/>
      <c r="AC88" s="161"/>
      <c r="AD88" s="50"/>
      <c r="AE88" s="50"/>
      <c r="AF88" s="77"/>
      <c r="AG88" s="77"/>
      <c r="AH88" s="50"/>
      <c r="AI88" s="50"/>
      <c r="AJ88" s="54"/>
      <c r="AK88" s="50"/>
      <c r="AL88" s="50"/>
      <c r="AM88" s="50"/>
      <c r="AN88" s="50"/>
      <c r="AO88" s="161"/>
      <c r="AP88" s="50"/>
      <c r="AQ88" s="50"/>
      <c r="AR88" s="50"/>
      <c r="AS88" s="50"/>
      <c r="AT88" s="50"/>
      <c r="AU88" s="50"/>
      <c r="AV88" s="54"/>
      <c r="AW88" s="56"/>
      <c r="AX88" s="56"/>
      <c r="AY88" s="56"/>
      <c r="AZ88" s="56"/>
      <c r="BA88" s="51"/>
      <c r="BB88" s="56"/>
      <c r="BC88" s="56"/>
      <c r="BD88" s="56"/>
      <c r="BE88" s="56"/>
      <c r="BF88" s="56"/>
      <c r="BG88" s="56"/>
      <c r="BI88" s="67"/>
    </row>
    <row r="89" spans="1:61">
      <c r="A89" s="45" t="s">
        <v>164</v>
      </c>
      <c r="B89" s="44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2"/>
      <c r="N89" s="50"/>
      <c r="O89" s="50"/>
      <c r="P89" s="50"/>
      <c r="Q89" s="50"/>
      <c r="R89" s="50"/>
      <c r="S89" s="55"/>
      <c r="T89" s="55"/>
      <c r="U89" s="55"/>
      <c r="V89" s="55"/>
      <c r="W89" s="55"/>
      <c r="X89" s="54"/>
      <c r="Y89" s="50"/>
      <c r="Z89" s="50"/>
      <c r="AA89" s="50"/>
      <c r="AB89" s="50"/>
      <c r="AC89" s="161"/>
      <c r="AD89" s="50"/>
      <c r="AE89" s="50"/>
      <c r="AF89" s="50"/>
      <c r="AG89" s="50"/>
      <c r="AH89" s="50"/>
      <c r="AI89" s="50"/>
      <c r="AJ89" s="54"/>
      <c r="AK89" s="50"/>
      <c r="AL89" s="50"/>
      <c r="AM89" s="50"/>
      <c r="AN89" s="50"/>
      <c r="AO89" s="161"/>
      <c r="AP89" s="50"/>
      <c r="AQ89" s="50"/>
      <c r="AR89" s="50"/>
      <c r="AS89" s="50"/>
      <c r="AT89" s="50"/>
      <c r="AU89" s="50"/>
      <c r="AV89" s="54"/>
      <c r="AW89" s="56"/>
      <c r="AX89" s="56"/>
      <c r="AY89" s="56"/>
      <c r="AZ89" s="56"/>
      <c r="BA89" s="51"/>
      <c r="BB89" s="56"/>
      <c r="BC89" s="56"/>
      <c r="BD89" s="56"/>
      <c r="BE89" s="56"/>
      <c r="BF89" s="56"/>
      <c r="BG89" s="56"/>
      <c r="BI89" s="67"/>
    </row>
    <row r="90" spans="1:61">
      <c r="A90" s="47" t="s">
        <v>165</v>
      </c>
      <c r="B90" s="9" t="s">
        <v>104</v>
      </c>
      <c r="C90" s="65">
        <f>'Global (product)'!$C$86*C11</f>
        <v>0.32110028770732602</v>
      </c>
      <c r="D90" s="65">
        <f>'South America (product)'!C86*$D$11</f>
        <v>0.66465901122187143</v>
      </c>
      <c r="E90" s="65">
        <f>'Oceania (product)'!C86*$E$11</f>
        <v>0.28735075671697224</v>
      </c>
      <c r="F90" s="68" t="s">
        <v>100</v>
      </c>
      <c r="G90" s="68" t="s">
        <v>100</v>
      </c>
      <c r="H90" s="68" t="s">
        <v>100</v>
      </c>
      <c r="I90" s="68" t="s">
        <v>100</v>
      </c>
      <c r="J90" s="68" t="s">
        <v>100</v>
      </c>
      <c r="K90" s="68" t="s">
        <v>100</v>
      </c>
      <c r="L90" s="68" t="s">
        <v>100</v>
      </c>
      <c r="M90" s="52"/>
      <c r="N90" s="50"/>
      <c r="O90" s="50"/>
      <c r="P90" s="50"/>
      <c r="Q90" s="50"/>
      <c r="R90" s="50"/>
      <c r="S90" s="55"/>
      <c r="T90" s="55"/>
      <c r="U90" s="55"/>
      <c r="V90" s="55"/>
      <c r="W90" s="55"/>
      <c r="X90" s="54"/>
      <c r="Y90" s="50"/>
      <c r="Z90" s="50"/>
      <c r="AA90" s="50"/>
      <c r="AB90" s="50"/>
      <c r="AC90" s="161"/>
      <c r="AD90" s="50"/>
      <c r="AE90" s="50"/>
      <c r="AF90" s="50"/>
      <c r="AG90" s="50"/>
      <c r="AH90" s="50"/>
      <c r="AI90" s="50"/>
      <c r="AJ90" s="54"/>
      <c r="AK90" s="50"/>
      <c r="AL90" s="50"/>
      <c r="AM90" s="50"/>
      <c r="AN90" s="50"/>
      <c r="AO90" s="161"/>
      <c r="AP90" s="50"/>
      <c r="AQ90" s="50"/>
      <c r="AR90" s="50"/>
      <c r="AS90" s="50"/>
      <c r="AT90" s="50"/>
      <c r="AU90" s="50"/>
      <c r="AV90" s="54"/>
      <c r="AW90" s="56"/>
      <c r="AX90" s="56"/>
      <c r="AY90" s="56"/>
      <c r="AZ90" s="56"/>
      <c r="BA90" s="51"/>
      <c r="BB90" s="56"/>
      <c r="BC90" s="56"/>
      <c r="BD90" s="56"/>
      <c r="BE90" s="56"/>
      <c r="BF90" s="56"/>
      <c r="BG90" s="56"/>
      <c r="BI90" s="67"/>
    </row>
    <row r="91" spans="1:61">
      <c r="A91" s="47" t="s">
        <v>231</v>
      </c>
      <c r="B91" s="9" t="s">
        <v>104</v>
      </c>
      <c r="C91" s="68">
        <f>'Global (product)'!C87*$C$11</f>
        <v>1930.3908846459103</v>
      </c>
      <c r="D91" s="68">
        <f>'South America (product)'!C87*$D$11</f>
        <v>33.921201717553416</v>
      </c>
      <c r="E91" s="68">
        <f>'Oceania (product)'!C87*$E$11</f>
        <v>324.76679789583972</v>
      </c>
      <c r="F91" s="68" t="s">
        <v>100</v>
      </c>
      <c r="G91" s="68" t="s">
        <v>100</v>
      </c>
      <c r="H91" s="68" t="s">
        <v>100</v>
      </c>
      <c r="I91" s="68" t="s">
        <v>100</v>
      </c>
      <c r="J91" s="68" t="s">
        <v>100</v>
      </c>
      <c r="K91" s="68" t="s">
        <v>100</v>
      </c>
      <c r="L91" s="68" t="s">
        <v>100</v>
      </c>
      <c r="M91" s="52"/>
      <c r="N91" s="50"/>
      <c r="O91" s="50"/>
      <c r="P91" s="50"/>
      <c r="Q91" s="50"/>
      <c r="R91" s="50"/>
      <c r="S91" s="55"/>
      <c r="T91" s="55"/>
      <c r="U91" s="55"/>
      <c r="V91" s="55"/>
      <c r="W91" s="55"/>
      <c r="X91" s="54"/>
      <c r="Y91" s="50"/>
      <c r="Z91" s="50"/>
      <c r="AA91" s="50"/>
      <c r="AB91" s="50"/>
      <c r="AC91" s="161"/>
      <c r="AD91" s="50"/>
      <c r="AE91" s="50"/>
      <c r="AF91" s="50"/>
      <c r="AG91" s="50"/>
      <c r="AH91" s="50"/>
      <c r="AI91" s="50"/>
      <c r="AJ91" s="54"/>
      <c r="AK91" s="50"/>
      <c r="AL91" s="50"/>
      <c r="AM91" s="50"/>
      <c r="AN91" s="50"/>
      <c r="AO91" s="161"/>
      <c r="AP91" s="50"/>
      <c r="AQ91" s="50"/>
      <c r="AR91" s="55"/>
      <c r="AS91" s="50"/>
      <c r="AT91" s="50"/>
      <c r="AU91" s="50"/>
      <c r="AV91" s="54"/>
      <c r="AW91" s="56"/>
      <c r="AX91" s="56"/>
      <c r="AY91" s="56"/>
      <c r="AZ91" s="56"/>
      <c r="BA91" s="51"/>
      <c r="BB91" s="56"/>
      <c r="BC91" s="56"/>
      <c r="BD91" s="56"/>
      <c r="BE91" s="56"/>
      <c r="BF91" s="56"/>
      <c r="BG91" s="56"/>
      <c r="BI91" s="67"/>
    </row>
    <row r="92" spans="1:61" ht="16">
      <c r="A92" s="47" t="s">
        <v>166</v>
      </c>
      <c r="B92" s="9" t="s">
        <v>104</v>
      </c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2"/>
      <c r="N92" s="66">
        <f>'Global (product)'!$E$88*N11</f>
        <v>2330.0642156324684</v>
      </c>
      <c r="O92" s="66">
        <f>'South America (product)'!$E$88*O11</f>
        <v>1553.5231905591327</v>
      </c>
      <c r="P92" s="66">
        <f>'Oceania (product)'!$E$88*P11</f>
        <v>3095.7111514381932</v>
      </c>
      <c r="Q92" s="66">
        <f>'NAM (product)'!$E$88*Q11</f>
        <v>1542.533348030857</v>
      </c>
      <c r="R92" s="66">
        <f>'Europe (product)'!$E$88*R11</f>
        <v>1594.7157260811962</v>
      </c>
      <c r="S92" s="69">
        <f>'Russia and Other Euro (product)'!E88*$S$11</f>
        <v>2607.1030195269882</v>
      </c>
      <c r="T92" s="77" t="s">
        <v>100</v>
      </c>
      <c r="U92" s="77" t="s">
        <v>100</v>
      </c>
      <c r="V92" s="69">
        <f>'Other Asia (product)'!E88*V11</f>
        <v>2352.1960768931026</v>
      </c>
      <c r="W92" s="77" t="s">
        <v>100</v>
      </c>
      <c r="X92" s="54"/>
      <c r="Y92" s="50"/>
      <c r="Z92" s="50"/>
      <c r="AA92" s="50"/>
      <c r="AB92" s="50"/>
      <c r="AC92" s="161"/>
      <c r="AD92" s="50"/>
      <c r="AE92" s="50"/>
      <c r="AF92" s="50"/>
      <c r="AG92" s="50"/>
      <c r="AH92" s="50"/>
      <c r="AI92" s="50"/>
      <c r="AJ92" s="54"/>
      <c r="AK92" s="50"/>
      <c r="AL92" s="50"/>
      <c r="AM92" s="50"/>
      <c r="AN92" s="50"/>
      <c r="AO92" s="161"/>
      <c r="AP92" s="50"/>
      <c r="AQ92" s="50"/>
      <c r="AR92" s="77"/>
      <c r="AS92" s="50"/>
      <c r="AT92" s="50"/>
      <c r="AU92" s="50"/>
      <c r="AV92" s="54"/>
      <c r="AW92" s="56"/>
      <c r="AX92" s="56"/>
      <c r="AY92" s="56"/>
      <c r="AZ92" s="56"/>
      <c r="BA92" s="51"/>
      <c r="BB92" s="56"/>
      <c r="BC92" s="56"/>
      <c r="BD92" s="56"/>
      <c r="BE92" s="56"/>
      <c r="BF92" s="56"/>
      <c r="BG92" s="56"/>
      <c r="BI92" s="67"/>
    </row>
    <row r="93" spans="1:61" ht="16">
      <c r="A93" s="47" t="s">
        <v>167</v>
      </c>
      <c r="B93" s="9" t="s">
        <v>104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2"/>
      <c r="N93" s="50"/>
      <c r="O93" s="50"/>
      <c r="P93" s="50"/>
      <c r="Q93" s="50"/>
      <c r="R93" s="50"/>
      <c r="S93" s="55"/>
      <c r="T93" s="55"/>
      <c r="U93" s="55"/>
      <c r="V93" s="55"/>
      <c r="W93" s="55"/>
      <c r="X93" s="54"/>
      <c r="Y93" s="50"/>
      <c r="Z93" s="50"/>
      <c r="AA93" s="50"/>
      <c r="AB93" s="50"/>
      <c r="AC93" s="161"/>
      <c r="AD93" s="50"/>
      <c r="AE93" s="50"/>
      <c r="AF93" s="50"/>
      <c r="AG93" s="50"/>
      <c r="AH93" s="50"/>
      <c r="AI93" s="50"/>
      <c r="AJ93" s="54"/>
      <c r="AK93" s="66">
        <f>(((IFERROR('Global (product)'!K89*'Global (product)'!$L$5,0))+(IFERROR('Global (product)'!M89*'Global (product)'!$L$4,0))))</f>
        <v>24.545754800234313</v>
      </c>
      <c r="AL93" s="66">
        <f>'South America (product)'!I89</f>
        <v>35.205068345960271</v>
      </c>
      <c r="AM93" s="66">
        <f>'Oceania (product)'!I89</f>
        <v>92.961481352141135</v>
      </c>
      <c r="AN93" s="66">
        <f>'NAM (product)'!I89</f>
        <v>10.348677085956526</v>
      </c>
      <c r="AO93" s="247">
        <f>'Canada (product)'!I89</f>
        <v>5.9872622430969624</v>
      </c>
      <c r="AP93" s="66">
        <f>'Europe (product)'!I89</f>
        <v>11.985561274753941</v>
      </c>
      <c r="AQ93" s="66">
        <f>'GCC (product)'!I89</f>
        <v>6.6524474564355396</v>
      </c>
      <c r="AR93" s="69">
        <f>'Russia and Other Euro (product)'!I89</f>
        <v>11.920461251885376</v>
      </c>
      <c r="AS93" s="69">
        <f>'Africa (product)'!I89</f>
        <v>7.9826927130423107</v>
      </c>
      <c r="AT93" s="69">
        <f>'Other Asia (product)'!I89</f>
        <v>95.074921118034609</v>
      </c>
      <c r="AU93" s="77" t="s">
        <v>100</v>
      </c>
      <c r="AV93" s="54"/>
      <c r="AW93" s="56"/>
      <c r="AX93" s="56"/>
      <c r="AY93" s="56"/>
      <c r="AZ93" s="56"/>
      <c r="BA93" s="51"/>
      <c r="BB93" s="56"/>
      <c r="BC93" s="56"/>
      <c r="BD93" s="56"/>
      <c r="BE93" s="56"/>
      <c r="BF93" s="56"/>
      <c r="BG93" s="56"/>
      <c r="BI93" s="67"/>
    </row>
    <row r="94" spans="1:61" ht="16">
      <c r="A94" s="47" t="s">
        <v>168</v>
      </c>
      <c r="B94" s="9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2"/>
      <c r="N94" s="50"/>
      <c r="O94" s="50"/>
      <c r="P94" s="50"/>
      <c r="Q94" s="50"/>
      <c r="R94" s="50"/>
      <c r="S94" s="55"/>
      <c r="T94" s="55"/>
      <c r="U94" s="55"/>
      <c r="V94" s="55"/>
      <c r="W94" s="55"/>
      <c r="X94" s="54"/>
      <c r="Y94" s="50"/>
      <c r="Z94" s="50"/>
      <c r="AA94" s="50"/>
      <c r="AB94" s="50"/>
      <c r="AC94" s="161"/>
      <c r="AD94" s="50"/>
      <c r="AE94" s="50"/>
      <c r="AF94" s="50"/>
      <c r="AG94" s="50"/>
      <c r="AH94" s="50"/>
      <c r="AI94" s="50"/>
      <c r="AJ94" s="54"/>
      <c r="AK94" s="66">
        <f>(((IFERROR('Global (product)'!K90*'Global (product)'!$L$5,0))+(IFERROR('Global (product)'!M90*'Global (product)'!$L$4,0))))</f>
        <v>1.4006799277878172</v>
      </c>
      <c r="AL94" s="66">
        <f>'South America (product)'!I90</f>
        <v>3.433046119744648</v>
      </c>
      <c r="AM94" s="56">
        <f>'Oceania (product)'!I90</f>
        <v>2.8840873772935198E-2</v>
      </c>
      <c r="AN94" s="66">
        <f>'NAM (product)'!I90</f>
        <v>4.1844840880067684</v>
      </c>
      <c r="AO94" s="248">
        <f>'Canada (product)'!I90</f>
        <v>0.135712776039006</v>
      </c>
      <c r="AP94" s="66">
        <f>'Europe (product)'!I90</f>
        <v>1.976090070185399</v>
      </c>
      <c r="AQ94" s="72">
        <f>'GCC (product)'!I90</f>
        <v>3.11647999817166E-3</v>
      </c>
      <c r="AR94" s="69">
        <f>'Russia and Other Euro (product)'!I90</f>
        <v>0</v>
      </c>
      <c r="AS94" s="83">
        <f>'Africa (product)'!I90</f>
        <v>4.8564790758328785E-2</v>
      </c>
      <c r="AT94" s="77">
        <f>'Other Asia (product)'!I90</f>
        <v>0.33914988391808643</v>
      </c>
      <c r="AU94" s="77" t="s">
        <v>100</v>
      </c>
      <c r="AV94" s="54"/>
      <c r="AW94" s="56"/>
      <c r="AX94" s="56"/>
      <c r="AY94" s="56"/>
      <c r="AZ94" s="56"/>
      <c r="BA94" s="51"/>
      <c r="BB94" s="56"/>
      <c r="BC94" s="56"/>
      <c r="BD94" s="56"/>
      <c r="BE94" s="56"/>
      <c r="BF94" s="56"/>
      <c r="BG94" s="56"/>
      <c r="BI94" s="67"/>
    </row>
    <row r="95" spans="1:61" ht="16">
      <c r="A95" s="47" t="s">
        <v>169</v>
      </c>
      <c r="B95" s="9" t="s">
        <v>104</v>
      </c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2"/>
      <c r="N95" s="50"/>
      <c r="O95" s="50"/>
      <c r="P95" s="50"/>
      <c r="Q95" s="50"/>
      <c r="R95" s="50"/>
      <c r="S95" s="55"/>
      <c r="T95" s="55"/>
      <c r="U95" s="55"/>
      <c r="V95" s="55"/>
      <c r="W95" s="55"/>
      <c r="X95" s="54"/>
      <c r="Y95" s="66">
        <f>(((IFERROR('Global (product)'!G91*'Global (product)'!$L$5,0))+(IFERROR('Global (product)'!I91*'Global (product)'!$L$4,0)))*$Y$11)</f>
        <v>5.8041843272095983</v>
      </c>
      <c r="Z95" s="66">
        <f>'South America (product)'!G91*$Y$11</f>
        <v>8.1349496525097873</v>
      </c>
      <c r="AA95" s="66">
        <f>'Oceania (product)'!G91*$AA$11</f>
        <v>8.1141119737066774</v>
      </c>
      <c r="AB95" s="66">
        <f>'NAM (product)'!G91*$AB$11</f>
        <v>2.4103100290935271</v>
      </c>
      <c r="AC95" s="247">
        <f>'Canada (product)'!G91*$AC$11</f>
        <v>1.734372987320278</v>
      </c>
      <c r="AD95" s="66">
        <f>'Europe (product)'!G91*$AD$11</f>
        <v>5.6048377289562765</v>
      </c>
      <c r="AE95" s="66">
        <f>'GCC (product)'!G91*$Y$11</f>
        <v>2.3910789350292991</v>
      </c>
      <c r="AF95" s="66">
        <f>'Russia and Other Euro (product)'!G91*$AF$11</f>
        <v>5.2652041755485319</v>
      </c>
      <c r="AG95" s="63">
        <f>'Africa (product)'!G91*$AG$11</f>
        <v>1.6859111591186695</v>
      </c>
      <c r="AH95" s="66">
        <f>'Other Asia (product)'!G91*$AH$11</f>
        <v>11.209909112692513</v>
      </c>
      <c r="AI95" s="77" t="s">
        <v>100</v>
      </c>
      <c r="AJ95" s="54"/>
      <c r="AK95" s="66">
        <f>(((IFERROR('Global (product)'!K91*'Global (product)'!$L$5,0))+(IFERROR('Global (product)'!M91*'Global (product)'!$L$4,0))))</f>
        <v>15.687376836998878</v>
      </c>
      <c r="AL95" s="66">
        <f>'South America (product)'!I91</f>
        <v>67.620499995286167</v>
      </c>
      <c r="AM95" s="66">
        <f>'Oceania (product)'!I91</f>
        <v>1.081092645394939</v>
      </c>
      <c r="AN95" s="66">
        <f>'NAM (product)'!I91</f>
        <v>2.4916827902376615</v>
      </c>
      <c r="AO95" s="247">
        <f>'Canada (product)'!I91</f>
        <v>2.7962941120834515</v>
      </c>
      <c r="AP95" s="66">
        <f>'Europe (product)'!I91</f>
        <v>32.731652784898131</v>
      </c>
      <c r="AQ95" s="63">
        <f>'GCC (product)'!I91</f>
        <v>0.72717866624005523</v>
      </c>
      <c r="AR95" s="69">
        <f>'Russia and Other Euro (product)'!I91</f>
        <v>22.753816768994565</v>
      </c>
      <c r="AS95" s="69">
        <f>'Africa (product)'!I91</f>
        <v>6.1573746291047486</v>
      </c>
      <c r="AT95" s="69">
        <f>'Other Asia (product)'!I91</f>
        <v>4.9716308375006664</v>
      </c>
      <c r="AU95" s="77" t="s">
        <v>100</v>
      </c>
      <c r="AV95" s="54"/>
      <c r="AW95" s="56"/>
      <c r="AX95" s="56"/>
      <c r="AY95" s="56"/>
      <c r="AZ95" s="56"/>
      <c r="BA95" s="51"/>
      <c r="BB95" s="56"/>
      <c r="BC95" s="56"/>
      <c r="BD95" s="56"/>
      <c r="BE95" s="56"/>
      <c r="BF95" s="56"/>
      <c r="BG95" s="56"/>
      <c r="BI95" s="67"/>
    </row>
    <row r="96" spans="1:61" ht="16">
      <c r="A96" s="47" t="s">
        <v>170</v>
      </c>
      <c r="B96" s="9" t="s">
        <v>104</v>
      </c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2"/>
      <c r="N96" s="50"/>
      <c r="O96" s="50"/>
      <c r="P96" s="50"/>
      <c r="Q96" s="50"/>
      <c r="R96" s="50"/>
      <c r="S96" s="55"/>
      <c r="T96" s="55"/>
      <c r="U96" s="55"/>
      <c r="V96" s="55"/>
      <c r="W96" s="55"/>
      <c r="X96" s="54"/>
      <c r="Y96" s="56">
        <f>(((IFERROR('Global (product)'!G92*'Global (product)'!$L$5,0))+(IFERROR('Global (product)'!I92*'Global (product)'!$L$4,0)))*$Y$11)</f>
        <v>2.8171965532542413E-2</v>
      </c>
      <c r="Z96" s="66" t="s">
        <v>100</v>
      </c>
      <c r="AA96" s="66">
        <f>'Oceania (product)'!G92*$AA$11</f>
        <v>0</v>
      </c>
      <c r="AB96" s="66">
        <f>'NAM (product)'!G92*$AB$11</f>
        <v>0</v>
      </c>
      <c r="AC96" s="247">
        <f>'Canada (product)'!G92*$AC$11</f>
        <v>0</v>
      </c>
      <c r="AD96" s="66">
        <f>'Europe (product)'!G92*$AD$11</f>
        <v>3.1443227512946058E-2</v>
      </c>
      <c r="AE96" s="66">
        <f>'GCC (product)'!G92*$Y$11</f>
        <v>0</v>
      </c>
      <c r="AF96" s="66" t="str">
        <f>'Russia and Other Euro (product)'!G92</f>
        <v>nd</v>
      </c>
      <c r="AG96" s="63">
        <f>'Africa (product)'!G92*$AG$11</f>
        <v>0.18218573824187795</v>
      </c>
      <c r="AH96" s="66">
        <f>'Other Asia (product)'!G92*$AH$11</f>
        <v>0</v>
      </c>
      <c r="AI96" s="77" t="s">
        <v>100</v>
      </c>
      <c r="AJ96" s="54"/>
      <c r="AK96" s="66">
        <f>(((IFERROR('Global (product)'!K92*'Global (product)'!$L$5,0))+(IFERROR('Global (product)'!M92*'Global (product)'!$L$4,0))))</f>
        <v>2.234797481337349</v>
      </c>
      <c r="AL96" s="66">
        <f>'South America (product)'!I92</f>
        <v>4.0542355719076886</v>
      </c>
      <c r="AM96" s="66">
        <f>'Oceania (product)'!I92</f>
        <v>0</v>
      </c>
      <c r="AN96" s="66">
        <f>'NAM (product)'!I92</f>
        <v>5.1112078011606785</v>
      </c>
      <c r="AO96" s="249">
        <f>'Canada (product)'!I92</f>
        <v>2.5123959994902401E-2</v>
      </c>
      <c r="AP96" s="66">
        <f>'Europe (product)'!I92</f>
        <v>1.0388489166264394</v>
      </c>
      <c r="AQ96" s="72">
        <f>'GCC (product)'!I92</f>
        <v>4.1066537279696603E-3</v>
      </c>
      <c r="AR96" s="69">
        <f>'Russia and Other Euro (product)'!I92</f>
        <v>5.5363886699177192</v>
      </c>
      <c r="AS96" s="69" t="str">
        <f>'Africa (product)'!I92</f>
        <v>nd</v>
      </c>
      <c r="AT96" s="69">
        <f>'Other Asia (product)'!I92</f>
        <v>0</v>
      </c>
      <c r="AU96" s="77" t="s">
        <v>100</v>
      </c>
      <c r="AV96" s="54"/>
      <c r="AW96" s="56"/>
      <c r="AX96" s="56"/>
      <c r="AY96" s="56"/>
      <c r="AZ96" s="56"/>
      <c r="BA96" s="51"/>
      <c r="BB96" s="56"/>
      <c r="BC96" s="56"/>
      <c r="BD96" s="56"/>
      <c r="BE96" s="56"/>
      <c r="BF96" s="56"/>
      <c r="BG96" s="56"/>
      <c r="BI96" s="67"/>
    </row>
    <row r="97" spans="1:61" ht="16">
      <c r="A97" s="47" t="s">
        <v>171</v>
      </c>
      <c r="B97" s="9" t="s">
        <v>104</v>
      </c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2"/>
      <c r="N97" s="50"/>
      <c r="O97" s="50"/>
      <c r="P97" s="50"/>
      <c r="Q97" s="50"/>
      <c r="R97" s="50"/>
      <c r="S97" s="55"/>
      <c r="T97" s="55"/>
      <c r="U97" s="55"/>
      <c r="V97" s="55"/>
      <c r="W97" s="55"/>
      <c r="X97" s="54"/>
      <c r="Y97" s="66">
        <f>(((IFERROR('Global (product)'!G93*'Global (product)'!$L$5,0))+(IFERROR('Global (product)'!I93*'Global (product)'!$L$4,0)))*$Y$11)</f>
        <v>0.90716845430252446</v>
      </c>
      <c r="Z97" s="63">
        <f>'South America (product)'!G93*$Y$11</f>
        <v>0.28978246835753524</v>
      </c>
      <c r="AA97" s="66">
        <f>'Oceania (product)'!G93*$AA$11</f>
        <v>10.717201021919591</v>
      </c>
      <c r="AB97" s="66">
        <f>'NAM (product)'!G93*$AB$11</f>
        <v>0.61364125224507216</v>
      </c>
      <c r="AC97" s="247">
        <f>'Canada (product)'!G93*$AC$11</f>
        <v>0</v>
      </c>
      <c r="AD97" s="66">
        <f>'Europe (product)'!G93*$AD$11</f>
        <v>0.68156880309538304</v>
      </c>
      <c r="AE97" s="66">
        <f>'GCC (product)'!G93*$Y$11</f>
        <v>0.84906480177439214</v>
      </c>
      <c r="AF97" s="66">
        <f>'Russia and Other Euro (product)'!G93*$AF$11</f>
        <v>0</v>
      </c>
      <c r="AG97" s="66">
        <f>'Africa (product)'!G93*$AG$11</f>
        <v>0</v>
      </c>
      <c r="AH97" s="66" t="str">
        <f>'Other Asia (product)'!G93</f>
        <v>nd</v>
      </c>
      <c r="AI97" s="77" t="s">
        <v>100</v>
      </c>
      <c r="AJ97" s="54"/>
      <c r="AK97" s="63">
        <f>(((IFERROR('Global (product)'!K93*'Global (product)'!$L$5,0))+(IFERROR('Global (product)'!M93*'Global (product)'!$L$4,0))))</f>
        <v>0.30563000739410634</v>
      </c>
      <c r="AL97" s="66">
        <f>'South America (product)'!I93</f>
        <v>0</v>
      </c>
      <c r="AM97" s="63">
        <f>'Oceania (product)'!I93</f>
        <v>0.46406864277780824</v>
      </c>
      <c r="AN97" s="63">
        <f>'NAM (product)'!I93</f>
        <v>0.59473091057806704</v>
      </c>
      <c r="AO97" s="249">
        <f>'Canada (product)'!I93</f>
        <v>8.9192693220566908E-3</v>
      </c>
      <c r="AP97" s="63">
        <f>'Europe (product)'!I93</f>
        <v>0.46574862166134601</v>
      </c>
      <c r="AQ97" s="63">
        <f>'GCC (product)'!I93</f>
        <v>0.28566368049468266</v>
      </c>
      <c r="AR97" s="69">
        <f>'Russia and Other Euro (product)'!I93</f>
        <v>0</v>
      </c>
      <c r="AS97" s="83">
        <f>'Africa (product)'!I93</f>
        <v>2.9455433504455373E-2</v>
      </c>
      <c r="AT97" s="69">
        <f>'Other Asia (product)'!I93</f>
        <v>0</v>
      </c>
      <c r="AU97" s="77" t="s">
        <v>100</v>
      </c>
      <c r="AV97" s="54"/>
      <c r="AW97" s="63">
        <f>'Global (product)'!O93</f>
        <v>0.77469790392818905</v>
      </c>
      <c r="AX97" s="63">
        <f>'South America (product)'!K93</f>
        <v>9.271258763700177E-2</v>
      </c>
      <c r="AY97" s="56">
        <f>'Oceania (product)'!K93</f>
        <v>1.5089607044849398E-2</v>
      </c>
      <c r="AZ97" s="56">
        <f>'NAM (product)'!K93</f>
        <v>8.3356419021474407E-2</v>
      </c>
      <c r="BA97" s="260">
        <f>'Canada (product)'!K93</f>
        <v>2.0782412302219799E-4</v>
      </c>
      <c r="BB97" s="56">
        <f>'Europe (product)'!K93</f>
        <v>0.38877721900838202</v>
      </c>
      <c r="BC97" s="56">
        <f>'GCC (product)'!K93</f>
        <v>1.5685209189250799</v>
      </c>
      <c r="BD97" s="63">
        <f>'Russia and Other Euro (product)'!K93</f>
        <v>1.391843971633234</v>
      </c>
      <c r="BE97" s="56">
        <f>'Africa (product)'!K93</f>
        <v>0.16369468991149475</v>
      </c>
      <c r="BF97" s="66">
        <f>'Other Asia (product)'!K93</f>
        <v>0</v>
      </c>
      <c r="BG97" s="56" t="s">
        <v>100</v>
      </c>
      <c r="BI97" s="67"/>
    </row>
    <row r="98" spans="1:61" ht="16">
      <c r="A98" s="47" t="s">
        <v>162</v>
      </c>
      <c r="B98" s="9" t="s">
        <v>104</v>
      </c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2"/>
      <c r="N98" s="50"/>
      <c r="O98" s="50"/>
      <c r="P98" s="50"/>
      <c r="Q98" s="50"/>
      <c r="R98" s="50"/>
      <c r="S98" s="55"/>
      <c r="T98" s="55"/>
      <c r="U98" s="55"/>
      <c r="V98" s="55"/>
      <c r="W98" s="55"/>
      <c r="X98" s="54"/>
      <c r="Y98" s="50"/>
      <c r="Z98" s="50"/>
      <c r="AA98" s="50"/>
      <c r="AB98" s="66"/>
      <c r="AC98" s="247"/>
      <c r="AD98" s="66"/>
      <c r="AE98" s="66"/>
      <c r="AF98" s="50"/>
      <c r="AG98" s="63"/>
      <c r="AH98" s="66"/>
      <c r="AI98" s="50"/>
      <c r="AJ98" s="54"/>
      <c r="AK98" s="50"/>
      <c r="AL98" s="50"/>
      <c r="AM98" s="50"/>
      <c r="AN98" s="50"/>
      <c r="AO98" s="161"/>
      <c r="AP98" s="50"/>
      <c r="AQ98" s="50"/>
      <c r="AR98" s="50"/>
      <c r="AS98" s="50"/>
      <c r="AT98" s="50"/>
      <c r="AU98" s="50"/>
      <c r="AV98" s="54"/>
      <c r="AW98" s="63">
        <f>'Global (product)'!O94</f>
        <v>0.127597226352378</v>
      </c>
      <c r="AX98" s="66">
        <f>'South America (product)'!K94</f>
        <v>0</v>
      </c>
      <c r="AY98" s="66">
        <f>'Oceania (product)'!K94</f>
        <v>0</v>
      </c>
      <c r="AZ98" s="66">
        <f>'NAM (product)'!K94</f>
        <v>0</v>
      </c>
      <c r="BA98" s="61">
        <f>'Canada (product)'!K94</f>
        <v>0</v>
      </c>
      <c r="BB98" s="66">
        <f>'Europe (product)'!K94</f>
        <v>0</v>
      </c>
      <c r="BC98" s="66">
        <f>'GCC (product)'!K94</f>
        <v>0</v>
      </c>
      <c r="BD98" s="63">
        <f>'Russia and Other Euro (product)'!K94</f>
        <v>0.16146809331265008</v>
      </c>
      <c r="BE98" s="66">
        <f>'Africa (product)'!K94</f>
        <v>0</v>
      </c>
      <c r="BF98" s="63">
        <f>'Other Asia (product)'!K94</f>
        <v>1.4761999471792202</v>
      </c>
      <c r="BG98" s="56" t="s">
        <v>100</v>
      </c>
      <c r="BI98" s="67"/>
    </row>
    <row r="99" spans="1:61" ht="16">
      <c r="A99" s="47" t="s">
        <v>163</v>
      </c>
      <c r="B99" s="9" t="s">
        <v>104</v>
      </c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2"/>
      <c r="N99" s="50"/>
      <c r="O99" s="50"/>
      <c r="P99" s="50"/>
      <c r="Q99" s="50"/>
      <c r="R99" s="50"/>
      <c r="S99" s="55"/>
      <c r="T99" s="55"/>
      <c r="U99" s="55"/>
      <c r="V99" s="55"/>
      <c r="W99" s="55"/>
      <c r="X99" s="54"/>
      <c r="Y99" s="50"/>
      <c r="Z99" s="50"/>
      <c r="AA99" s="50"/>
      <c r="AB99" s="66"/>
      <c r="AC99" s="247"/>
      <c r="AD99" s="66"/>
      <c r="AE99" s="66"/>
      <c r="AF99" s="50"/>
      <c r="AG99" s="63"/>
      <c r="AH99" s="66"/>
      <c r="AI99" s="50"/>
      <c r="AJ99" s="54"/>
      <c r="AK99" s="50"/>
      <c r="AL99" s="50"/>
      <c r="AM99" s="50"/>
      <c r="AN99" s="50"/>
      <c r="AO99" s="161"/>
      <c r="AP99" s="50"/>
      <c r="AQ99" s="50"/>
      <c r="AR99" s="50"/>
      <c r="AS99" s="50"/>
      <c r="AT99" s="50"/>
      <c r="AU99" s="50"/>
      <c r="AV99" s="54"/>
      <c r="AW99" s="63">
        <f>'Global (product)'!O95</f>
        <v>0.10280960139439324</v>
      </c>
      <c r="AX99" s="66">
        <f>'South America (product)'!K95</f>
        <v>0</v>
      </c>
      <c r="AY99" s="66">
        <f>'Oceania (product)'!K95</f>
        <v>0</v>
      </c>
      <c r="AZ99" s="56">
        <f>'NAM (product)'!K95</f>
        <v>2.0733162857145042E-2</v>
      </c>
      <c r="BA99" s="61">
        <f>'Canada (product)'!K95</f>
        <v>0</v>
      </c>
      <c r="BB99" s="56">
        <f>'Europe (product)'!K95</f>
        <v>1.6864468434345421E-2</v>
      </c>
      <c r="BC99" s="66">
        <f>'GCC (product)'!K95</f>
        <v>0</v>
      </c>
      <c r="BD99" s="66">
        <f>'Russia and Other Euro (product)'!K95</f>
        <v>0</v>
      </c>
      <c r="BE99" s="66">
        <f>'Africa (product)'!K95</f>
        <v>0</v>
      </c>
      <c r="BF99" s="63">
        <f>'Other Asia (product)'!K95</f>
        <v>1.3801087649025789</v>
      </c>
      <c r="BG99" s="56" t="s">
        <v>100</v>
      </c>
      <c r="BI99" s="67"/>
    </row>
    <row r="100" spans="1:61" ht="16">
      <c r="A100" s="47" t="s">
        <v>172</v>
      </c>
      <c r="B100" s="9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2"/>
      <c r="N100" s="66">
        <f>'Global (product)'!$E$96*N11</f>
        <v>48.320967482949371</v>
      </c>
      <c r="O100" s="66">
        <f>'South America (product)'!$E$96*O11</f>
        <v>52.349984033745251</v>
      </c>
      <c r="P100" s="66">
        <f>'Oceania (product)'!$E$96*P11</f>
        <v>34.867647366612808</v>
      </c>
      <c r="Q100" s="63">
        <f>'NAM (product)'!$E$96*Q11</f>
        <v>0.23657467458766152</v>
      </c>
      <c r="R100" s="66">
        <f>'Europe (product)'!$E$96*R11</f>
        <v>120.28446490386774</v>
      </c>
      <c r="S100" s="69">
        <f>'Russia and Other Euro (product)'!E96*$S$11</f>
        <v>75.993282377320014</v>
      </c>
      <c r="T100" s="77" t="s">
        <v>100</v>
      </c>
      <c r="U100" s="77" t="s">
        <v>100</v>
      </c>
      <c r="V100" s="77" t="s">
        <v>100</v>
      </c>
      <c r="W100" s="77" t="s">
        <v>100</v>
      </c>
      <c r="X100" s="54"/>
      <c r="Y100" s="66">
        <f>(((IFERROR('Global (product)'!G96*'Global (product)'!$L$5,0))+(IFERROR('Global (product)'!I96*'Global (product)'!$L$4,0)))*$Y$11)</f>
        <v>1.4944591373573313</v>
      </c>
      <c r="Z100" s="63">
        <f>'South America (product)'!G96*$Y$11</f>
        <v>4.7247892577093715</v>
      </c>
      <c r="AA100" s="66">
        <f>'Oceania (product)'!G96*$AA$11</f>
        <v>1.2217609164988332</v>
      </c>
      <c r="AB100" s="63">
        <f>'NAM (product)'!G96*$AB$11</f>
        <v>0.31444917536570488</v>
      </c>
      <c r="AC100" s="248">
        <f>'Canada (product)'!G96*$AC$11</f>
        <v>5.7657763862874162E-2</v>
      </c>
      <c r="AD100" s="63">
        <f>'Europe (product)'!G96*$AD$11</f>
        <v>2.3161845490116528</v>
      </c>
      <c r="AE100" s="66">
        <f>'GCC (product)'!G96*$Y$11</f>
        <v>0</v>
      </c>
      <c r="AF100" s="66" t="str">
        <f>'Russia and Other Euro (product)'!G96</f>
        <v>nd</v>
      </c>
      <c r="AG100" s="63">
        <f>'Africa (product)'!G96*$AG$11</f>
        <v>1.8536264026249929</v>
      </c>
      <c r="AH100" s="66">
        <f>'Other Asia (product)'!G96*$AH$11</f>
        <v>2.1127620751019602</v>
      </c>
      <c r="AI100" s="50" t="s">
        <v>100</v>
      </c>
      <c r="AJ100" s="54"/>
      <c r="AK100" s="50"/>
      <c r="AL100" s="50"/>
      <c r="AM100" s="50"/>
      <c r="AN100" s="50"/>
      <c r="AO100" s="161"/>
      <c r="AP100" s="50"/>
      <c r="AQ100" s="50"/>
      <c r="AR100" s="50"/>
      <c r="AS100" s="50"/>
      <c r="AT100" s="50"/>
      <c r="AU100" s="50"/>
      <c r="AV100" s="54"/>
      <c r="AW100" s="63">
        <f>'Global (product)'!O96</f>
        <v>1.6749124038860075</v>
      </c>
      <c r="AX100" s="63">
        <f>'South America (product)'!K96</f>
        <v>6.4455922903548002</v>
      </c>
      <c r="AY100" s="66">
        <f>'Oceania (product)'!K96</f>
        <v>0</v>
      </c>
      <c r="AZ100" s="56">
        <f>'NAM (product)'!K96</f>
        <v>2.3648444043246535</v>
      </c>
      <c r="BA100" s="51">
        <f>'Canada (product)'!K96</f>
        <v>3.2444362846339221</v>
      </c>
      <c r="BB100" s="56">
        <f>'Europe (product)'!K96</f>
        <v>9.3562975802023884E-2</v>
      </c>
      <c r="BC100" s="56">
        <f>'GCC (product)'!K96</f>
        <v>0.239753285820128</v>
      </c>
      <c r="BD100" s="56" t="str">
        <f>'Russia and Other Euro (product)'!K96</f>
        <v>nd</v>
      </c>
      <c r="BE100" s="63">
        <f>'Africa (product)'!K96</f>
        <v>0.19592462790492457</v>
      </c>
      <c r="BF100" s="63">
        <f>'Other Asia (product)'!K96</f>
        <v>2.2884789135122059</v>
      </c>
      <c r="BG100" s="56" t="s">
        <v>100</v>
      </c>
      <c r="BI100" s="67"/>
    </row>
    <row r="101" spans="1:61" ht="16">
      <c r="A101" s="153" t="s">
        <v>173</v>
      </c>
      <c r="B101" s="154" t="s">
        <v>104</v>
      </c>
      <c r="C101" s="240">
        <f>'Global (product)'!C97*$C$11</f>
        <v>0.18681159025121508</v>
      </c>
      <c r="D101" s="240">
        <f>'South America (product)'!C97*$D$11</f>
        <v>1.5286724128545196E-4</v>
      </c>
      <c r="E101" s="240">
        <f>'Oceania (product)'!C97*$E$11</f>
        <v>9.3918656598715724E-5</v>
      </c>
      <c r="F101" s="198" t="s">
        <v>100</v>
      </c>
      <c r="G101" s="198" t="s">
        <v>100</v>
      </c>
      <c r="H101" s="198" t="s">
        <v>100</v>
      </c>
      <c r="I101" s="198" t="s">
        <v>100</v>
      </c>
      <c r="J101" s="198" t="s">
        <v>100</v>
      </c>
      <c r="K101" s="198" t="s">
        <v>100</v>
      </c>
      <c r="L101" s="198" t="s">
        <v>100</v>
      </c>
      <c r="M101" s="155"/>
      <c r="N101" s="199">
        <f>'Global (product)'!$E$97*N11</f>
        <v>15.002135703053391</v>
      </c>
      <c r="O101" s="199">
        <f>'South America (product)'!$E$97*O11</f>
        <v>16.653378574165675</v>
      </c>
      <c r="P101" s="199">
        <f>'Oceania (product)'!$E$97*P11</f>
        <v>8.5901490656137121</v>
      </c>
      <c r="Q101" s="200">
        <f>'NAM (product)'!$E$97*Q11</f>
        <v>0.23657467458766152</v>
      </c>
      <c r="R101" s="199">
        <f>'Europe (product)'!$E$97*R11</f>
        <v>9.3814276542140149</v>
      </c>
      <c r="S101" s="199">
        <f>'Russia and Other Euro (product)'!E97*$S$11</f>
        <v>66.815787016587507</v>
      </c>
      <c r="T101" s="156" t="s">
        <v>100</v>
      </c>
      <c r="U101" s="156" t="s">
        <v>100</v>
      </c>
      <c r="V101" s="156" t="s">
        <v>100</v>
      </c>
      <c r="W101" s="156" t="s">
        <v>100</v>
      </c>
      <c r="X101" s="157"/>
      <c r="Y101" s="199">
        <f>(((IFERROR('Global (product)'!G97*'Global (product)'!$L$5,0))+(IFERROR('Global (product)'!I97*'Global (product)'!$L$4,0)))*$Y$11)</f>
        <v>1.310154290806792</v>
      </c>
      <c r="Z101" s="200">
        <f>'South America (product)'!G97*$Y$11</f>
        <v>4.7247892577093715</v>
      </c>
      <c r="AA101" s="199">
        <f>'Oceania (product)'!G97*$AA$11</f>
        <v>0</v>
      </c>
      <c r="AB101" s="200">
        <v>0.31444917536570488</v>
      </c>
      <c r="AC101" s="252">
        <f>'Canada (product)'!G97*$AC$11</f>
        <v>7.2736687089968832E-2</v>
      </c>
      <c r="AD101" s="200">
        <f>'Europe (product)'!G97*$AD$11</f>
        <v>1.948077099779264</v>
      </c>
      <c r="AE101" s="199">
        <f>'GCC (product)'!G97*$Y$11</f>
        <v>0</v>
      </c>
      <c r="AF101" s="198" t="str">
        <f>'Russia and Other Euro (product)'!G97</f>
        <v>nd</v>
      </c>
      <c r="AG101" s="253">
        <f>'Africa (product)'!G97*$AG$11</f>
        <v>1.543744517653149</v>
      </c>
      <c r="AH101" s="253">
        <f>'Other Asia (product)'!G97*$AH$11</f>
        <v>1.4567265593754346</v>
      </c>
      <c r="AI101" s="198" t="s">
        <v>100</v>
      </c>
      <c r="AJ101" s="157"/>
      <c r="AK101" s="198"/>
      <c r="AL101" s="198"/>
      <c r="AM101" s="198"/>
      <c r="AN101" s="198"/>
      <c r="AO101" s="201"/>
      <c r="AP101" s="198"/>
      <c r="AQ101" s="198"/>
      <c r="AR101" s="198"/>
      <c r="AS101" s="198"/>
      <c r="AT101" s="198"/>
      <c r="AU101" s="198"/>
      <c r="AV101" s="157"/>
      <c r="AW101" s="200">
        <f>'Global (product)'!O97</f>
        <v>1.6141751932412101</v>
      </c>
      <c r="AX101" s="200">
        <f>'South America (product)'!K97</f>
        <v>6.4455922903548002</v>
      </c>
      <c r="AY101" s="199">
        <f>'Oceania (product)'!K97</f>
        <v>0</v>
      </c>
      <c r="AZ101" s="202">
        <f>'NAM (product)'!K97</f>
        <v>2.3494726985711996</v>
      </c>
      <c r="BA101" s="170">
        <f>'Canada (product)'!K97</f>
        <v>3.2321746613756099</v>
      </c>
      <c r="BB101" s="202">
        <f>'Europe (product)'!K97</f>
        <v>7.1531902243943096E-2</v>
      </c>
      <c r="BC101" s="199">
        <f>'GCC (product)'!K97</f>
        <v>0</v>
      </c>
      <c r="BD101" s="202" t="str">
        <f>'Russia and Other Euro (product)'!K97</f>
        <v>nd</v>
      </c>
      <c r="BE101" s="202">
        <f>'Africa (product)'!K97</f>
        <v>4.3682084872262057E-2</v>
      </c>
      <c r="BF101" s="200">
        <f>'Other Asia (product)'!K97</f>
        <v>0.13028103350937389</v>
      </c>
      <c r="BG101" s="202" t="s">
        <v>100</v>
      </c>
      <c r="BI101" s="67"/>
    </row>
    <row r="102" spans="1:61">
      <c r="AW102" s="102"/>
    </row>
    <row r="103" spans="1:61">
      <c r="A103" s="45"/>
      <c r="B103" s="73"/>
    </row>
    <row r="104" spans="1:61">
      <c r="A104" s="47"/>
      <c r="B104" s="9"/>
      <c r="Y104" s="160"/>
    </row>
    <row r="105" spans="1:61">
      <c r="A105" s="158"/>
      <c r="B105" s="9"/>
      <c r="Y105" s="160"/>
      <c r="AW105" s="278"/>
      <c r="AX105" s="278"/>
      <c r="AY105" s="278"/>
      <c r="AZ105" s="278"/>
      <c r="BA105" s="278"/>
      <c r="BB105" s="278"/>
      <c r="BC105" s="278"/>
      <c r="BD105" s="278"/>
      <c r="BE105" s="278"/>
      <c r="BF105" s="278"/>
    </row>
    <row r="106" spans="1:61">
      <c r="A106" s="158"/>
      <c r="B106" s="9"/>
      <c r="Y106" s="160"/>
    </row>
    <row r="107" spans="1:61">
      <c r="A107" s="158"/>
      <c r="B107" s="9"/>
      <c r="Y107" s="160"/>
    </row>
  </sheetData>
  <mergeCells count="6">
    <mergeCell ref="AW3:BG3"/>
    <mergeCell ref="AU61:AU62"/>
    <mergeCell ref="C3:L3"/>
    <mergeCell ref="N3:W3"/>
    <mergeCell ref="Y3:AI3"/>
    <mergeCell ref="AK3:AU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60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4"/>
  <sheetViews>
    <sheetView tabSelected="1" zoomScale="70" zoomScaleNormal="70" workbookViewId="0">
      <pane xSplit="2" ySplit="9" topLeftCell="C21" activePane="bottomRight" state="frozen"/>
      <selection pane="topRight" activeCell="J20" sqref="J20"/>
      <selection pane="bottomLeft" activeCell="J20" sqref="J20"/>
      <selection pane="bottomRight" activeCell="A41" sqref="A41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17</v>
      </c>
    </row>
    <row r="2" spans="1:17">
      <c r="A2" s="16"/>
      <c r="I2" s="169"/>
    </row>
    <row r="3" spans="1:17">
      <c r="A3" s="88" t="s">
        <v>174</v>
      </c>
    </row>
    <row r="4" spans="1:17">
      <c r="A4" s="203"/>
      <c r="B4" s="204" t="s">
        <v>175</v>
      </c>
      <c r="C4" s="205">
        <v>0.49967032318856303</v>
      </c>
      <c r="D4" s="312" t="s">
        <v>176</v>
      </c>
      <c r="E4" s="313"/>
      <c r="F4" s="22">
        <v>358000000</v>
      </c>
      <c r="G4" s="206"/>
      <c r="H4" s="207" t="s">
        <v>177</v>
      </c>
      <c r="I4" s="22">
        <f>63657000-I5</f>
        <v>60766554</v>
      </c>
      <c r="J4" s="203"/>
      <c r="K4" s="204" t="s">
        <v>178</v>
      </c>
      <c r="L4" s="208">
        <f>I4/(I4+I5)</f>
        <v>0.95459343041613653</v>
      </c>
      <c r="Q4" s="44"/>
    </row>
    <row r="5" spans="1:17">
      <c r="A5" s="209"/>
      <c r="B5" s="210" t="s">
        <v>179</v>
      </c>
      <c r="C5" s="211">
        <v>0.51676381897051882</v>
      </c>
      <c r="D5" s="312" t="s">
        <v>180</v>
      </c>
      <c r="E5" s="313"/>
      <c r="F5" s="23">
        <v>123525000</v>
      </c>
      <c r="G5" s="212"/>
      <c r="H5" s="213" t="s">
        <v>181</v>
      </c>
      <c r="I5" s="23">
        <v>2890446</v>
      </c>
      <c r="J5" s="209"/>
      <c r="K5" s="210" t="s">
        <v>178</v>
      </c>
      <c r="L5" s="214">
        <f>I5/(I4+I5)</f>
        <v>4.5406569583863521E-2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182</v>
      </c>
      <c r="H7" s="217"/>
      <c r="I7" s="15" t="s">
        <v>183</v>
      </c>
      <c r="J7" s="217"/>
      <c r="K7" s="15" t="s">
        <v>184</v>
      </c>
      <c r="L7" s="218"/>
      <c r="M7" s="15" t="s">
        <v>185</v>
      </c>
      <c r="N7" s="218"/>
      <c r="O7" s="15" t="s">
        <v>79</v>
      </c>
      <c r="P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182</v>
      </c>
      <c r="H8" s="3"/>
      <c r="I8" s="43" t="s">
        <v>183</v>
      </c>
      <c r="J8" s="3"/>
      <c r="K8" s="43" t="s">
        <v>86</v>
      </c>
      <c r="L8" s="3"/>
      <c r="M8" s="43" t="s">
        <v>86</v>
      </c>
      <c r="N8" s="3"/>
      <c r="O8" s="43" t="s">
        <v>87</v>
      </c>
      <c r="P8" s="43"/>
    </row>
    <row r="9" spans="1:17" ht="48.75" customHeight="1">
      <c r="A9" s="219"/>
      <c r="B9" s="220" t="s">
        <v>187</v>
      </c>
      <c r="C9" s="18">
        <v>5.1302930894250496</v>
      </c>
      <c r="D9" s="221" t="s">
        <v>188</v>
      </c>
      <c r="E9" s="18">
        <v>1.9105311074796001</v>
      </c>
      <c r="F9" s="221" t="s">
        <v>188</v>
      </c>
      <c r="G9" s="4">
        <f>C5</f>
        <v>0.51676381897051882</v>
      </c>
      <c r="H9" s="221" t="s">
        <v>188</v>
      </c>
      <c r="I9" s="4">
        <f>C4</f>
        <v>0.49967032318856303</v>
      </c>
      <c r="J9" s="221" t="s">
        <v>188</v>
      </c>
      <c r="K9" s="5">
        <v>1</v>
      </c>
      <c r="L9" s="221" t="s">
        <v>188</v>
      </c>
      <c r="M9" s="5">
        <v>1</v>
      </c>
      <c r="N9" s="221" t="s">
        <v>188</v>
      </c>
      <c r="O9" s="5">
        <v>1</v>
      </c>
      <c r="P9" s="18" t="s">
        <v>188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6"/>
      <c r="M10" s="10"/>
      <c r="N10" s="6"/>
      <c r="O10" s="10"/>
      <c r="P10" s="10"/>
    </row>
    <row r="11" spans="1:17">
      <c r="A11" s="46" t="s">
        <v>98</v>
      </c>
      <c r="B11" s="48" t="s">
        <v>189</v>
      </c>
      <c r="C11" s="7"/>
      <c r="D11" s="8"/>
      <c r="E11" s="7">
        <v>4305.3046747418603</v>
      </c>
      <c r="F11" s="31">
        <v>0.35155582219041764</v>
      </c>
      <c r="G11" s="7"/>
      <c r="H11" s="8"/>
      <c r="I11" s="7"/>
      <c r="J11" s="8"/>
      <c r="K11" s="7">
        <v>2922.8762862674798</v>
      </c>
      <c r="L11" s="31">
        <v>0.96943786533981269</v>
      </c>
      <c r="M11" s="7">
        <v>10309.316633509099</v>
      </c>
      <c r="N11" s="31">
        <v>0.27414796415261589</v>
      </c>
      <c r="O11" s="7"/>
      <c r="P11" s="7"/>
    </row>
    <row r="12" spans="1:17">
      <c r="A12" s="46" t="s">
        <v>101</v>
      </c>
      <c r="B12" s="48" t="s">
        <v>189</v>
      </c>
      <c r="C12" s="7"/>
      <c r="D12" s="8"/>
      <c r="E12" s="7">
        <v>21.9153064922453</v>
      </c>
      <c r="F12" s="31">
        <v>0.35155582219041764</v>
      </c>
      <c r="G12" s="7"/>
      <c r="H12" s="8"/>
      <c r="I12" s="7"/>
      <c r="J12" s="8"/>
      <c r="K12" s="7">
        <v>0.21379653677616844</v>
      </c>
      <c r="L12" s="31">
        <v>0.93846167689000248</v>
      </c>
      <c r="M12" s="7">
        <v>9.4512723595469303</v>
      </c>
      <c r="N12" s="31">
        <v>0.24610953649189982</v>
      </c>
      <c r="O12" s="7"/>
      <c r="P12" s="7"/>
    </row>
    <row r="13" spans="1:17">
      <c r="A13" s="46" t="s">
        <v>102</v>
      </c>
      <c r="B13" s="48" t="s">
        <v>189</v>
      </c>
      <c r="C13" s="7"/>
      <c r="D13" s="8"/>
      <c r="E13" s="7">
        <v>565.77779212080998</v>
      </c>
      <c r="F13" s="31">
        <v>0.35155582219041764</v>
      </c>
      <c r="G13" s="7"/>
      <c r="H13" s="8"/>
      <c r="I13" s="7"/>
      <c r="J13" s="8"/>
      <c r="K13" s="7">
        <v>6364.9263059532605</v>
      </c>
      <c r="L13" s="31">
        <v>0.93846167689000248</v>
      </c>
      <c r="M13" s="7">
        <v>668.35616692474605</v>
      </c>
      <c r="N13" s="31">
        <v>0.2379801737506787</v>
      </c>
      <c r="O13" s="7"/>
      <c r="P13" s="7"/>
    </row>
    <row r="14" spans="1:17">
      <c r="A14" s="90"/>
      <c r="B14" s="48"/>
      <c r="C14" s="10"/>
      <c r="D14" s="6"/>
      <c r="E14" s="10"/>
      <c r="F14" s="6"/>
      <c r="G14" s="10"/>
      <c r="H14" s="6"/>
      <c r="I14" s="10"/>
      <c r="J14" s="6"/>
      <c r="K14" s="10"/>
      <c r="L14" s="6"/>
      <c r="M14" s="10"/>
      <c r="N14" s="6"/>
      <c r="O14" s="10"/>
      <c r="P14" s="10"/>
    </row>
    <row r="15" spans="1:17">
      <c r="A15" s="45" t="s">
        <v>103</v>
      </c>
      <c r="B15" s="44"/>
      <c r="C15" s="10"/>
      <c r="D15" s="6"/>
      <c r="E15" s="10"/>
      <c r="F15" s="6"/>
      <c r="G15" s="10"/>
      <c r="H15" s="6"/>
      <c r="I15" s="10"/>
      <c r="J15" s="6"/>
      <c r="K15" s="10"/>
      <c r="L15" s="6"/>
      <c r="M15" s="10"/>
      <c r="N15" s="6"/>
      <c r="O15" s="10"/>
      <c r="P15" s="10"/>
    </row>
    <row r="16" spans="1:17">
      <c r="A16" s="47" t="s">
        <v>82</v>
      </c>
      <c r="B16" s="9" t="s">
        <v>190</v>
      </c>
      <c r="C16" s="10"/>
      <c r="D16" s="6"/>
      <c r="E16" s="7">
        <v>2685.2706398447499</v>
      </c>
      <c r="F16" s="31">
        <v>0.35155582219041764</v>
      </c>
      <c r="G16" s="10"/>
      <c r="H16" s="6"/>
      <c r="I16" s="10"/>
      <c r="J16" s="6"/>
      <c r="K16" s="10"/>
      <c r="L16" s="6"/>
      <c r="M16" s="10"/>
      <c r="N16" s="6"/>
      <c r="O16" s="10"/>
      <c r="P16" s="10"/>
    </row>
    <row r="17" spans="1:17">
      <c r="A17" s="47" t="s">
        <v>105</v>
      </c>
      <c r="B17" s="9" t="s">
        <v>190</v>
      </c>
      <c r="C17" s="10"/>
      <c r="D17" s="6"/>
      <c r="E17" s="7">
        <v>81.031946474072697</v>
      </c>
      <c r="F17" s="31">
        <v>0.35155582219041764</v>
      </c>
      <c r="G17" s="10"/>
      <c r="H17" s="6"/>
      <c r="I17" s="10"/>
      <c r="J17" s="6"/>
      <c r="K17" s="10"/>
      <c r="L17" s="6"/>
      <c r="M17" s="10"/>
      <c r="N17" s="6"/>
      <c r="O17" s="10"/>
      <c r="P17" s="10"/>
    </row>
    <row r="18" spans="1:17">
      <c r="A18" s="47" t="s">
        <v>106</v>
      </c>
      <c r="B18" s="9" t="s">
        <v>190</v>
      </c>
      <c r="C18" s="10"/>
      <c r="D18" s="6"/>
      <c r="E18" s="7">
        <v>52.297973896277298</v>
      </c>
      <c r="F18" s="31">
        <v>0.33580582016653582</v>
      </c>
      <c r="G18" s="10"/>
      <c r="H18" s="6"/>
      <c r="I18" s="10"/>
      <c r="J18" s="6"/>
      <c r="K18" s="10"/>
      <c r="L18" s="6"/>
      <c r="M18" s="10"/>
      <c r="N18" s="6"/>
      <c r="O18" s="10"/>
      <c r="P18" s="10"/>
    </row>
    <row r="19" spans="1:17">
      <c r="A19" s="47" t="s">
        <v>107</v>
      </c>
      <c r="B19" s="9" t="s">
        <v>191</v>
      </c>
      <c r="C19" s="12">
        <f>'[1]Mine 2019'!$N$34</f>
        <v>0.46917402991510149</v>
      </c>
      <c r="D19" s="98">
        <v>0.33063153627044717</v>
      </c>
      <c r="E19" s="7">
        <v>4.8197941759792204</v>
      </c>
      <c r="F19" s="31">
        <v>0.32897203931245766</v>
      </c>
      <c r="G19" s="17">
        <v>0.49086657360903901</v>
      </c>
      <c r="H19" s="98">
        <v>9.8988157063152518E-2</v>
      </c>
      <c r="I19" s="17">
        <v>0.52996745185597705</v>
      </c>
      <c r="J19" s="31">
        <v>0.18865299722173853</v>
      </c>
      <c r="K19" s="7">
        <v>7.66968522123212</v>
      </c>
      <c r="L19" s="31">
        <v>1</v>
      </c>
      <c r="M19" s="7">
        <v>5.2261230224343604</v>
      </c>
      <c r="N19" s="31">
        <v>0.29111177075583394</v>
      </c>
      <c r="O19" s="10">
        <v>1.8437923364262134</v>
      </c>
      <c r="P19" s="91">
        <v>0.15514586376084613</v>
      </c>
    </row>
    <row r="20" spans="1:17">
      <c r="A20" s="47" t="s">
        <v>109</v>
      </c>
      <c r="B20" s="9" t="s">
        <v>191</v>
      </c>
      <c r="C20" s="17">
        <v>0.25078696532756595</v>
      </c>
      <c r="D20" s="98">
        <v>0.29095978053435118</v>
      </c>
      <c r="E20" s="7">
        <v>2.07170141658924</v>
      </c>
      <c r="F20" s="31">
        <v>0.2779746072611381</v>
      </c>
      <c r="G20" s="17">
        <v>2.2304799375559488</v>
      </c>
      <c r="H20" s="98">
        <v>0.57387554940203855</v>
      </c>
      <c r="I20" s="17">
        <v>1.8205953509078301</v>
      </c>
      <c r="J20" s="31">
        <v>0.13279697805618279</v>
      </c>
      <c r="K20" s="7">
        <v>7.2583735356404802</v>
      </c>
      <c r="L20" s="31">
        <v>1</v>
      </c>
      <c r="M20" s="7">
        <v>39.319681411076203</v>
      </c>
      <c r="N20" s="31">
        <v>0.29111177075583394</v>
      </c>
      <c r="O20" s="10">
        <v>6.3083808459304462</v>
      </c>
      <c r="P20" s="91">
        <v>0.10282947579754283</v>
      </c>
    </row>
    <row r="21" spans="1:17">
      <c r="A21" s="47" t="s">
        <v>192</v>
      </c>
      <c r="B21" s="9" t="s">
        <v>190</v>
      </c>
      <c r="C21" s="7"/>
      <c r="D21" s="8"/>
      <c r="E21" s="7"/>
      <c r="F21" s="8"/>
      <c r="G21" s="7">
        <v>707.14683799307704</v>
      </c>
      <c r="H21" s="98">
        <v>0.97483200412669879</v>
      </c>
      <c r="I21" s="7">
        <v>742.78220917885096</v>
      </c>
      <c r="J21" s="31">
        <v>0.3206637525751404</v>
      </c>
      <c r="K21" s="7"/>
      <c r="L21" s="8"/>
      <c r="M21" s="7"/>
      <c r="N21" s="8"/>
      <c r="O21" s="10"/>
      <c r="P21" s="10"/>
    </row>
    <row r="22" spans="1:17">
      <c r="A22" s="47" t="s">
        <v>110</v>
      </c>
      <c r="B22" s="9" t="s">
        <v>190</v>
      </c>
      <c r="C22" s="7"/>
      <c r="D22" s="8"/>
      <c r="E22" s="7"/>
      <c r="F22" s="8"/>
      <c r="G22" s="7">
        <v>309.28033725416401</v>
      </c>
      <c r="H22" s="98">
        <v>0.97483200412669879</v>
      </c>
      <c r="I22" s="7">
        <v>164.17283110961199</v>
      </c>
      <c r="J22" s="31">
        <v>0.3206637525751404</v>
      </c>
      <c r="K22" s="7"/>
      <c r="L22" s="8"/>
      <c r="M22" s="7"/>
      <c r="N22" s="8"/>
      <c r="O22" s="10"/>
      <c r="P22" s="10"/>
    </row>
    <row r="23" spans="1:17">
      <c r="A23" s="47" t="s">
        <v>111</v>
      </c>
      <c r="B23" s="9" t="s">
        <v>190</v>
      </c>
      <c r="C23" s="7"/>
      <c r="D23" s="8"/>
      <c r="E23" s="7"/>
      <c r="F23" s="8"/>
      <c r="G23" s="17">
        <v>1.6061708269387946</v>
      </c>
      <c r="H23" s="98">
        <v>9.8988157063152518E-2</v>
      </c>
      <c r="I23" s="17">
        <v>2.3325252114373098</v>
      </c>
      <c r="J23" s="31">
        <v>0.19849859293352776</v>
      </c>
      <c r="K23" s="7">
        <v>11.665546473337701</v>
      </c>
      <c r="L23" s="31">
        <v>0.13729797758546605</v>
      </c>
      <c r="M23" s="7">
        <v>5.5823399927046502</v>
      </c>
      <c r="N23" s="98">
        <v>0.1983900179718929</v>
      </c>
      <c r="O23" s="10"/>
      <c r="P23" s="10"/>
      <c r="Q23" s="179"/>
    </row>
    <row r="24" spans="1:17">
      <c r="A24" s="47" t="s">
        <v>112</v>
      </c>
      <c r="B24" s="9" t="s">
        <v>190</v>
      </c>
      <c r="C24" s="7"/>
      <c r="D24" s="8"/>
      <c r="E24" s="7"/>
      <c r="F24" s="8"/>
      <c r="G24" s="17">
        <v>1.9234119549488622</v>
      </c>
      <c r="H24" s="98">
        <v>9.8988157063152518E-2</v>
      </c>
      <c r="I24" s="17">
        <v>1.7309773509611399</v>
      </c>
      <c r="J24" s="31">
        <v>0.12541340555571259</v>
      </c>
      <c r="K24" s="7">
        <v>8.8962548491454196</v>
      </c>
      <c r="L24" s="31">
        <v>0.13729797758546605</v>
      </c>
      <c r="M24" s="7">
        <v>4.2150056550161503</v>
      </c>
      <c r="N24" s="98">
        <v>0.21755666349205849</v>
      </c>
      <c r="O24" s="10"/>
      <c r="P24" s="10"/>
    </row>
    <row r="25" spans="1:17">
      <c r="A25" s="47" t="s">
        <v>83</v>
      </c>
      <c r="B25" s="9" t="s">
        <v>190</v>
      </c>
      <c r="C25" s="7"/>
      <c r="D25" s="8"/>
      <c r="E25" s="7"/>
      <c r="F25" s="8"/>
      <c r="G25" s="10"/>
      <c r="H25" s="31"/>
      <c r="I25" s="10"/>
      <c r="J25" s="6"/>
      <c r="K25" s="7">
        <v>1924.31142315842</v>
      </c>
      <c r="L25" s="31">
        <v>1</v>
      </c>
      <c r="M25" s="7">
        <v>1908.5668117899199</v>
      </c>
      <c r="N25" s="98">
        <v>0.33189721549242374</v>
      </c>
      <c r="O25" s="10"/>
      <c r="P25" s="10"/>
    </row>
    <row r="26" spans="1:17">
      <c r="A26" s="47" t="s">
        <v>193</v>
      </c>
      <c r="B26" s="9" t="s">
        <v>190</v>
      </c>
      <c r="C26" s="7"/>
      <c r="D26" s="8"/>
      <c r="E26" s="7"/>
      <c r="F26" s="8"/>
      <c r="G26" s="10"/>
      <c r="H26" s="31"/>
      <c r="I26" s="10"/>
      <c r="J26" s="6"/>
      <c r="K26" s="7">
        <f>C5*1000</f>
        <v>516.76381897051886</v>
      </c>
      <c r="L26" s="31">
        <v>1</v>
      </c>
      <c r="M26" s="7">
        <f>C4*1000</f>
        <v>499.67032318856303</v>
      </c>
      <c r="N26" s="98">
        <v>0.6503927968977572</v>
      </c>
      <c r="O26" s="10"/>
      <c r="P26" s="10"/>
    </row>
    <row r="27" spans="1:17">
      <c r="A27" s="47" t="s">
        <v>113</v>
      </c>
      <c r="B27" s="9" t="s">
        <v>190</v>
      </c>
      <c r="C27" s="7"/>
      <c r="D27" s="8"/>
      <c r="E27" s="7"/>
      <c r="F27" s="8"/>
      <c r="G27" s="10"/>
      <c r="H27" s="6"/>
      <c r="I27" s="10"/>
      <c r="J27" s="6"/>
      <c r="K27" s="7">
        <v>9.6772836753776996</v>
      </c>
      <c r="L27" s="31">
        <v>1</v>
      </c>
      <c r="M27" s="7">
        <v>5.9807861619403804</v>
      </c>
      <c r="N27" s="98">
        <v>0.23358479000915536</v>
      </c>
      <c r="O27" s="10"/>
      <c r="P27" s="10"/>
    </row>
    <row r="28" spans="1:17">
      <c r="A28" s="47" t="s">
        <v>114</v>
      </c>
      <c r="B28" s="9" t="s">
        <v>190</v>
      </c>
      <c r="C28" s="7"/>
      <c r="D28" s="8"/>
      <c r="E28" s="7"/>
      <c r="F28" s="8"/>
      <c r="G28" s="12"/>
      <c r="H28" s="6"/>
      <c r="I28" s="12"/>
      <c r="J28" s="6"/>
      <c r="K28" s="7">
        <v>25.162727157911501</v>
      </c>
      <c r="L28" s="31">
        <v>1</v>
      </c>
      <c r="M28" s="7">
        <v>16.492723085560002</v>
      </c>
      <c r="N28" s="98">
        <v>0.33189721549242374</v>
      </c>
      <c r="O28" s="10"/>
      <c r="P28" s="10"/>
    </row>
    <row r="29" spans="1:17">
      <c r="A29" s="47" t="s">
        <v>115</v>
      </c>
      <c r="B29" s="9" t="s">
        <v>190</v>
      </c>
      <c r="C29" s="7"/>
      <c r="D29" s="8"/>
      <c r="E29" s="7"/>
      <c r="F29" s="8"/>
      <c r="G29" s="10"/>
      <c r="H29" s="6"/>
      <c r="I29" s="10"/>
      <c r="J29" s="6"/>
      <c r="K29" s="10"/>
      <c r="L29" s="6"/>
      <c r="M29" s="10"/>
      <c r="N29" s="6"/>
      <c r="O29" s="7">
        <v>1000</v>
      </c>
      <c r="P29" s="91">
        <v>0.31986088276133307</v>
      </c>
    </row>
    <row r="30" spans="1:17">
      <c r="A30" s="47" t="s">
        <v>116</v>
      </c>
      <c r="B30" s="9" t="s">
        <v>190</v>
      </c>
      <c r="C30" s="7"/>
      <c r="D30" s="263"/>
      <c r="E30" s="7"/>
      <c r="F30" s="8"/>
      <c r="G30" s="10"/>
      <c r="H30" s="6"/>
      <c r="I30" s="10"/>
      <c r="J30" s="6"/>
      <c r="K30" s="10"/>
      <c r="L30" s="6"/>
      <c r="M30" s="10"/>
      <c r="N30" s="6"/>
      <c r="O30" s="7">
        <v>13.772732062767812</v>
      </c>
      <c r="P30" s="91">
        <v>0.30809661807716643</v>
      </c>
    </row>
    <row r="31" spans="1:17">
      <c r="A31" s="47" t="s">
        <v>117</v>
      </c>
      <c r="B31" s="9" t="s">
        <v>190</v>
      </c>
      <c r="C31" s="7"/>
      <c r="D31" s="8"/>
      <c r="E31" s="7"/>
      <c r="F31" s="8"/>
      <c r="G31" s="10"/>
      <c r="H31" s="6"/>
      <c r="I31" s="10"/>
      <c r="J31" s="6"/>
      <c r="K31" s="10"/>
      <c r="L31" s="6"/>
      <c r="M31" s="10"/>
      <c r="N31" s="6"/>
      <c r="O31" s="11">
        <v>5.4846856526957503E-3</v>
      </c>
      <c r="P31" s="91">
        <v>0.23734581729299212</v>
      </c>
    </row>
    <row r="32" spans="1:17">
      <c r="A32" s="47" t="s">
        <v>118</v>
      </c>
      <c r="B32" s="9" t="s">
        <v>190</v>
      </c>
      <c r="C32" s="7"/>
      <c r="D32" s="8"/>
      <c r="E32" s="7"/>
      <c r="F32" s="8"/>
      <c r="G32" s="10"/>
      <c r="H32" s="6"/>
      <c r="I32" s="10"/>
      <c r="J32" s="6"/>
      <c r="K32" s="10"/>
      <c r="L32" s="6"/>
      <c r="M32" s="10"/>
      <c r="N32" s="6"/>
      <c r="O32" s="17">
        <v>0.65632040353131615</v>
      </c>
      <c r="P32" s="91">
        <v>0.24873722750710842</v>
      </c>
    </row>
    <row r="33" spans="1:17">
      <c r="A33" s="47" t="s">
        <v>119</v>
      </c>
      <c r="B33" s="9" t="s">
        <v>190</v>
      </c>
      <c r="C33" s="7"/>
      <c r="D33" s="8"/>
      <c r="E33" s="7"/>
      <c r="F33" s="8"/>
      <c r="G33" s="10"/>
      <c r="H33" s="6"/>
      <c r="I33" s="10"/>
      <c r="J33" s="6"/>
      <c r="K33" s="10"/>
      <c r="L33" s="6"/>
      <c r="M33" s="10"/>
      <c r="N33" s="6"/>
      <c r="O33" s="17">
        <v>6.4601576450273535E-2</v>
      </c>
      <c r="P33" s="91">
        <v>0.186909052286787</v>
      </c>
    </row>
    <row r="34" spans="1:17" ht="18.75" customHeight="1">
      <c r="A34" s="47"/>
      <c r="B34" s="9"/>
      <c r="C34" s="7"/>
      <c r="D34" s="8"/>
      <c r="E34" s="7"/>
      <c r="F34" s="8"/>
      <c r="G34" s="10"/>
      <c r="H34" s="6"/>
      <c r="I34" s="10"/>
      <c r="J34" s="6"/>
      <c r="K34" s="10"/>
      <c r="L34" s="6"/>
      <c r="M34" s="10"/>
      <c r="N34" s="6"/>
      <c r="O34" s="10"/>
      <c r="P34" s="91"/>
    </row>
    <row r="35" spans="1:17">
      <c r="A35" s="34" t="s">
        <v>120</v>
      </c>
      <c r="B35" s="9"/>
      <c r="C35" s="7"/>
      <c r="D35" s="8"/>
      <c r="E35" s="10"/>
      <c r="F35" s="6"/>
      <c r="G35" s="10"/>
      <c r="H35" s="6"/>
      <c r="I35" s="10"/>
      <c r="J35" s="6"/>
      <c r="K35" s="10"/>
      <c r="L35" s="6"/>
      <c r="M35" s="10"/>
      <c r="N35" s="6"/>
      <c r="O35" s="11"/>
      <c r="P35" s="11"/>
    </row>
    <row r="36" spans="1:17" s="25" customFormat="1">
      <c r="A36" s="92" t="s">
        <v>121</v>
      </c>
      <c r="B36" s="93" t="s">
        <v>191</v>
      </c>
      <c r="C36" s="94">
        <v>0.66421594204812551</v>
      </c>
      <c r="D36" s="174">
        <f>D19</f>
        <v>0.33063153627044717</v>
      </c>
      <c r="E36" s="94">
        <v>2.8080992010031194</v>
      </c>
      <c r="F36" s="174">
        <f>F19</f>
        <v>0.32897203931245766</v>
      </c>
      <c r="G36" s="94">
        <v>6.4898190962926913E-2</v>
      </c>
      <c r="H36" s="174">
        <f>H19</f>
        <v>9.8988157063152518E-2</v>
      </c>
      <c r="I36" s="173">
        <v>4.3154824521204782E-2</v>
      </c>
      <c r="J36" s="174">
        <f>J19</f>
        <v>0.18865299722173853</v>
      </c>
      <c r="K36" s="94">
        <v>7.1894887562278198</v>
      </c>
      <c r="L36" s="174">
        <f>L19</f>
        <v>1</v>
      </c>
      <c r="M36" s="94">
        <v>4.9876093893701103</v>
      </c>
      <c r="N36" s="174">
        <v>0.29111177075583394</v>
      </c>
      <c r="O36" s="94">
        <v>0.53761624372144168</v>
      </c>
      <c r="P36" s="229">
        <v>0.15514586376084613</v>
      </c>
    </row>
    <row r="37" spans="1:17" s="25" customFormat="1">
      <c r="A37" s="92" t="s">
        <v>122</v>
      </c>
      <c r="B37" s="93" t="s">
        <v>191</v>
      </c>
      <c r="C37" s="173">
        <f>C20-C68</f>
        <v>1.2410904316342675E-2</v>
      </c>
      <c r="D37" s="174">
        <f>D20</f>
        <v>0.29095978053435118</v>
      </c>
      <c r="E37" s="94">
        <f>E20-E68</f>
        <v>9.2751651194070028E-2</v>
      </c>
      <c r="F37" s="174">
        <f>F20</f>
        <v>0.2779746072611381</v>
      </c>
      <c r="G37" s="94">
        <f>G20-G68</f>
        <v>0.81121577788461652</v>
      </c>
      <c r="H37" s="174">
        <f>H20</f>
        <v>0.57387554940203855</v>
      </c>
      <c r="I37" s="173">
        <f>I20-I68</f>
        <v>0.38054733619342018</v>
      </c>
      <c r="J37" s="174">
        <f>J20</f>
        <v>0.13279697805618279</v>
      </c>
      <c r="K37" s="94">
        <f>K20-K68</f>
        <v>5.8391093759691497</v>
      </c>
      <c r="L37" s="174">
        <f>L20</f>
        <v>1</v>
      </c>
      <c r="M37" s="173">
        <f>M20-M68</f>
        <v>6.0870418679553069</v>
      </c>
      <c r="N37" s="174">
        <v>0.29111177075583394</v>
      </c>
      <c r="O37" s="94">
        <f>O20-O68</f>
        <v>8.7661269378862094E-2</v>
      </c>
      <c r="P37" s="229">
        <v>0.10282947579754283</v>
      </c>
    </row>
    <row r="38" spans="1:17">
      <c r="A38" s="47" t="s">
        <v>123</v>
      </c>
      <c r="B38" s="280" t="s">
        <v>210</v>
      </c>
      <c r="C38" s="281">
        <v>0.34245318531863295</v>
      </c>
      <c r="D38" s="98">
        <v>0.2578829591057798</v>
      </c>
      <c r="E38" s="282">
        <v>1.0265534662978</v>
      </c>
      <c r="F38" s="98">
        <v>0.3588142882874687</v>
      </c>
      <c r="G38" s="17"/>
      <c r="H38" s="98"/>
      <c r="I38" s="17"/>
      <c r="J38" s="98"/>
      <c r="K38" s="17"/>
      <c r="L38" s="98"/>
      <c r="M38" s="17"/>
      <c r="N38" s="98"/>
      <c r="O38" s="17"/>
      <c r="P38" s="171"/>
    </row>
    <row r="39" spans="1:17">
      <c r="A39" s="47" t="s">
        <v>194</v>
      </c>
      <c r="B39" s="9" t="s">
        <v>195</v>
      </c>
      <c r="C39" s="7" t="s">
        <v>196</v>
      </c>
      <c r="D39" s="98">
        <v>0.30112684269356604</v>
      </c>
      <c r="E39" s="17" t="s">
        <v>229</v>
      </c>
      <c r="F39" s="98">
        <v>0.278100384868471</v>
      </c>
      <c r="G39" s="17"/>
      <c r="H39" s="98"/>
      <c r="I39" s="17"/>
      <c r="J39" s="98"/>
      <c r="K39" s="17"/>
      <c r="L39" s="98"/>
      <c r="M39" s="17"/>
      <c r="N39" s="98"/>
      <c r="O39" s="17"/>
      <c r="P39" s="171"/>
    </row>
    <row r="40" spans="1:17">
      <c r="A40" s="47" t="s">
        <v>197</v>
      </c>
      <c r="B40" s="9" t="s">
        <v>195</v>
      </c>
      <c r="C40" s="7" t="s">
        <v>198</v>
      </c>
      <c r="D40" s="98">
        <v>0.17072009242093786</v>
      </c>
      <c r="E40" s="241" t="s">
        <v>228</v>
      </c>
      <c r="F40" s="98">
        <v>0.3777666042604807</v>
      </c>
      <c r="G40" s="17"/>
      <c r="H40" s="98"/>
      <c r="I40" s="17"/>
      <c r="J40" s="98"/>
      <c r="K40" s="17"/>
      <c r="L40" s="98"/>
      <c r="M40" s="17"/>
      <c r="N40" s="98"/>
      <c r="O40" s="17"/>
      <c r="P40" s="171"/>
    </row>
    <row r="41" spans="1:17">
      <c r="A41" s="47" t="s">
        <v>199</v>
      </c>
      <c r="B41" s="9" t="s">
        <v>200</v>
      </c>
      <c r="C41" s="13">
        <v>2.3142109932395255E-7</v>
      </c>
      <c r="D41" s="98">
        <v>0.23561216848418762</v>
      </c>
      <c r="E41" s="13">
        <v>1.1945118390897934E-5</v>
      </c>
      <c r="F41" s="98">
        <v>0.27258062897430063</v>
      </c>
      <c r="G41" s="17"/>
      <c r="H41" s="98"/>
      <c r="I41" s="17"/>
      <c r="J41" s="98"/>
      <c r="K41" s="17"/>
      <c r="L41" s="98"/>
      <c r="M41" s="17"/>
      <c r="N41" s="98"/>
      <c r="O41" s="17"/>
      <c r="P41" s="171"/>
    </row>
    <row r="42" spans="1:17">
      <c r="A42" s="47"/>
      <c r="B42" s="9"/>
      <c r="C42" s="10"/>
      <c r="D42" s="6"/>
      <c r="E42" s="10"/>
      <c r="F42" s="6"/>
      <c r="G42" s="10"/>
      <c r="H42" s="6"/>
      <c r="I42" s="10"/>
      <c r="J42" s="6"/>
      <c r="K42" s="10"/>
      <c r="L42" s="6"/>
      <c r="M42" s="10"/>
      <c r="N42" s="6"/>
      <c r="O42" s="10"/>
      <c r="P42" s="10"/>
    </row>
    <row r="43" spans="1:17">
      <c r="A43" s="45" t="s">
        <v>130</v>
      </c>
      <c r="B43" s="44"/>
      <c r="C43" s="10"/>
      <c r="D43" s="6"/>
      <c r="E43" s="10"/>
      <c r="F43" s="6"/>
      <c r="G43" s="10"/>
      <c r="H43" s="6"/>
      <c r="I43" s="10"/>
      <c r="J43" s="6"/>
      <c r="K43" s="10"/>
      <c r="L43" s="6"/>
      <c r="M43" s="10"/>
      <c r="N43" s="6"/>
      <c r="O43" s="10"/>
      <c r="P43" s="10"/>
    </row>
    <row r="44" spans="1:17">
      <c r="A44" s="47" t="s">
        <v>131</v>
      </c>
      <c r="B44" s="9" t="s">
        <v>201</v>
      </c>
      <c r="C44" s="17">
        <v>5.7324746419199402</v>
      </c>
      <c r="D44" s="31">
        <v>0.35918920649945479</v>
      </c>
      <c r="E44" s="7">
        <v>842.03419235745673</v>
      </c>
      <c r="F44" s="31">
        <v>0.89429606608581258</v>
      </c>
      <c r="G44" s="7">
        <v>469.82502893910299</v>
      </c>
      <c r="H44" s="98">
        <v>0.97483200412669879</v>
      </c>
      <c r="I44" s="7">
        <v>559.32104996078203</v>
      </c>
      <c r="J44" s="31">
        <v>0.3206637525751404</v>
      </c>
      <c r="K44" s="10"/>
      <c r="L44" s="6"/>
      <c r="M44" s="10"/>
      <c r="N44" s="6"/>
      <c r="O44" s="7">
        <v>69.184074573412104</v>
      </c>
      <c r="P44" s="171">
        <v>0.34944262431697376</v>
      </c>
    </row>
    <row r="45" spans="1:17">
      <c r="A45" s="47" t="s">
        <v>133</v>
      </c>
      <c r="B45" s="9" t="s">
        <v>201</v>
      </c>
      <c r="C45" s="17">
        <v>79.353335612399107</v>
      </c>
      <c r="D45" s="31">
        <v>0.35918920649945479</v>
      </c>
      <c r="E45" s="7">
        <v>7.0123389135446814</v>
      </c>
      <c r="F45" s="31">
        <v>0.89429606608581258</v>
      </c>
      <c r="G45" s="7">
        <v>12.0877689846116</v>
      </c>
      <c r="H45" s="98">
        <v>0.97483200412669879</v>
      </c>
      <c r="I45" s="7">
        <v>6.6206739261184104</v>
      </c>
      <c r="J45" s="31">
        <v>0.3206637525751404</v>
      </c>
      <c r="K45" s="10"/>
      <c r="L45" s="6"/>
      <c r="M45" s="10"/>
      <c r="N45" s="6"/>
      <c r="O45" s="7">
        <v>3.8375512925073201</v>
      </c>
      <c r="P45" s="171">
        <v>0.34944262431697376</v>
      </c>
    </row>
    <row r="46" spans="1:17">
      <c r="A46" s="47" t="s">
        <v>134</v>
      </c>
      <c r="B46" s="9" t="s">
        <v>201</v>
      </c>
      <c r="C46" s="7">
        <v>1.0996232214272601</v>
      </c>
      <c r="D46" s="31">
        <v>0.35918920649945479</v>
      </c>
      <c r="E46" s="7">
        <v>2477.8884923403248</v>
      </c>
      <c r="F46" s="31">
        <v>0.89429606608581258</v>
      </c>
      <c r="G46" s="7">
        <v>53.596036098105898</v>
      </c>
      <c r="H46" s="98">
        <v>0.97483200412669879</v>
      </c>
      <c r="I46" s="7">
        <v>2097.3551146322102</v>
      </c>
      <c r="J46" s="31">
        <v>0.3206637525751404</v>
      </c>
      <c r="K46" s="10"/>
      <c r="L46" s="6"/>
      <c r="M46" s="10"/>
      <c r="N46" s="6"/>
      <c r="O46" s="7">
        <v>743.89370806944203</v>
      </c>
      <c r="P46" s="171">
        <v>0.34944262431697376</v>
      </c>
    </row>
    <row r="47" spans="1:17">
      <c r="A47" s="47" t="s">
        <v>135</v>
      </c>
      <c r="B47" s="9" t="s">
        <v>201</v>
      </c>
      <c r="C47" s="17">
        <v>21.927162486316</v>
      </c>
      <c r="D47" s="31">
        <v>0.35918920649945479</v>
      </c>
      <c r="E47" s="7">
        <v>6414.4495805831493</v>
      </c>
      <c r="F47" s="31">
        <v>0.89429606608581258</v>
      </c>
      <c r="G47" s="36">
        <v>0</v>
      </c>
      <c r="H47" s="98">
        <v>0.97483200412669879</v>
      </c>
      <c r="I47" s="36">
        <v>0</v>
      </c>
      <c r="J47" s="31">
        <v>0.3206637525751404</v>
      </c>
      <c r="K47" s="10"/>
      <c r="L47" s="6"/>
      <c r="M47" s="10"/>
      <c r="N47" s="6"/>
      <c r="O47" s="36">
        <v>0</v>
      </c>
      <c r="P47" s="171">
        <v>0.34944262431697376</v>
      </c>
    </row>
    <row r="48" spans="1:17">
      <c r="A48" s="47" t="s">
        <v>136</v>
      </c>
      <c r="B48" s="9" t="s">
        <v>201</v>
      </c>
      <c r="C48" s="17">
        <v>22.971227136563513</v>
      </c>
      <c r="D48" s="31">
        <v>0.30733432644492914</v>
      </c>
      <c r="E48" s="7">
        <v>546.87125152396993</v>
      </c>
      <c r="F48" s="31">
        <v>0.89429606608581258</v>
      </c>
      <c r="G48" s="7">
        <v>396.44753634992202</v>
      </c>
      <c r="H48" s="98">
        <v>0.97483200412669879</v>
      </c>
      <c r="I48" s="7">
        <v>465.72525666002099</v>
      </c>
      <c r="J48" s="31">
        <v>0.3206637525751404</v>
      </c>
      <c r="K48" s="7">
        <f>16780.570920003*3.6</f>
        <v>60410.055312010802</v>
      </c>
      <c r="L48" s="98">
        <v>1</v>
      </c>
      <c r="M48" s="7">
        <f>14169.5459532745*3.6</f>
        <v>51010.365431788203</v>
      </c>
      <c r="N48" s="98">
        <v>1</v>
      </c>
      <c r="O48" s="7">
        <v>392.94391564343101</v>
      </c>
      <c r="P48" s="171">
        <v>0.34944262431697376</v>
      </c>
      <c r="Q48" s="178"/>
    </row>
    <row r="49" spans="1:16">
      <c r="A49" s="47" t="s">
        <v>137</v>
      </c>
      <c r="B49" s="9" t="s">
        <v>201</v>
      </c>
      <c r="C49" s="11">
        <v>6.3716874550078387E-3</v>
      </c>
      <c r="D49" s="31">
        <v>0.35918920649945479</v>
      </c>
      <c r="E49" s="7">
        <v>168.26358377691901</v>
      </c>
      <c r="F49" s="31">
        <v>0.89429606608581258</v>
      </c>
      <c r="G49" s="36">
        <v>0</v>
      </c>
      <c r="H49" s="98">
        <v>0.97483200412669879</v>
      </c>
      <c r="I49" s="7">
        <v>116.02041431097599</v>
      </c>
      <c r="J49" s="31">
        <v>0.3206637525751404</v>
      </c>
      <c r="K49" s="10"/>
      <c r="L49" s="6"/>
      <c r="M49" s="10"/>
      <c r="N49" s="6"/>
      <c r="O49" s="7">
        <v>32.142607196956931</v>
      </c>
      <c r="P49" s="171">
        <v>0.34944262431697376</v>
      </c>
    </row>
    <row r="50" spans="1:16">
      <c r="A50" s="47"/>
      <c r="B50" s="9"/>
      <c r="C50" s="11"/>
      <c r="D50" s="6"/>
      <c r="E50" s="10"/>
      <c r="F50" s="6"/>
      <c r="G50" s="10"/>
      <c r="H50" s="6"/>
      <c r="I50" s="10"/>
      <c r="J50" s="6"/>
      <c r="K50" s="10"/>
      <c r="L50" s="6"/>
      <c r="M50" s="10"/>
      <c r="N50" s="6"/>
      <c r="O50" s="10"/>
      <c r="P50" s="10"/>
    </row>
    <row r="51" spans="1:16">
      <c r="A51" s="45" t="s">
        <v>138</v>
      </c>
      <c r="B51" s="44"/>
      <c r="C51" s="10"/>
      <c r="D51" s="6"/>
      <c r="E51" s="10"/>
      <c r="F51" s="6"/>
      <c r="G51" s="10"/>
      <c r="H51" s="6"/>
      <c r="I51" s="10"/>
      <c r="J51" s="6"/>
      <c r="K51" s="10"/>
      <c r="L51" s="6"/>
      <c r="M51" s="10"/>
      <c r="N51" s="6"/>
      <c r="O51" s="10"/>
      <c r="P51" s="10"/>
    </row>
    <row r="52" spans="1:16">
      <c r="A52" s="47" t="s">
        <v>139</v>
      </c>
      <c r="B52" s="9" t="s">
        <v>190</v>
      </c>
      <c r="C52" s="17">
        <v>0.175552738863853</v>
      </c>
      <c r="D52" s="31">
        <v>0.31352420269901859</v>
      </c>
      <c r="E52" s="17">
        <v>0.38294543339798998</v>
      </c>
      <c r="F52" s="31">
        <v>0.32599466631104096</v>
      </c>
      <c r="G52" s="17">
        <v>0.14628819802889415</v>
      </c>
      <c r="H52" s="98">
        <v>9.8988157063152518E-2</v>
      </c>
      <c r="I52" s="17">
        <v>0.26126333247429001</v>
      </c>
      <c r="J52" s="31">
        <v>0.26580998591457444</v>
      </c>
      <c r="K52" s="7">
        <v>3.9154040356406319</v>
      </c>
      <c r="L52" s="31">
        <v>0.99851148225187747</v>
      </c>
      <c r="M52" s="7">
        <v>1.3704174822172832</v>
      </c>
      <c r="N52" s="31">
        <v>0.29111177075583394</v>
      </c>
      <c r="O52" s="10">
        <v>3.5587180332094771E-2</v>
      </c>
      <c r="P52" s="91">
        <v>0.16278053123527941</v>
      </c>
    </row>
    <row r="53" spans="1:16">
      <c r="A53" s="47" t="s">
        <v>140</v>
      </c>
      <c r="B53" s="9" t="s">
        <v>190</v>
      </c>
      <c r="C53" s="12">
        <v>1.3108486506531805E-4</v>
      </c>
      <c r="D53" s="31">
        <v>0.16991914122137408</v>
      </c>
      <c r="E53" s="17">
        <v>0.70839731607493006</v>
      </c>
      <c r="F53" s="31">
        <v>0.32421986510169376</v>
      </c>
      <c r="G53" s="17">
        <v>0.90026554639102785</v>
      </c>
      <c r="H53" s="98">
        <v>9.8988157063152518E-2</v>
      </c>
      <c r="I53" s="17">
        <v>0.98238287804954105</v>
      </c>
      <c r="J53" s="31">
        <v>0.26087713575115418</v>
      </c>
      <c r="K53" s="7">
        <v>6.1889232914248602</v>
      </c>
      <c r="L53" s="31">
        <v>0.88828416445074554</v>
      </c>
      <c r="M53" s="17">
        <v>12.696410642124</v>
      </c>
      <c r="N53" s="31">
        <v>0.28102095665437937</v>
      </c>
      <c r="O53" s="10">
        <v>1.1421011643605967E-2</v>
      </c>
      <c r="P53" s="91">
        <v>0.14516561509094336</v>
      </c>
    </row>
    <row r="54" spans="1:16" ht="17">
      <c r="A54" s="47" t="s">
        <v>141</v>
      </c>
      <c r="B54" s="9" t="s">
        <v>190</v>
      </c>
      <c r="C54" s="10">
        <v>6.106482594961915E-2</v>
      </c>
      <c r="D54" s="31">
        <v>0.26543952290076339</v>
      </c>
      <c r="E54" s="17">
        <v>0.65657002436333833</v>
      </c>
      <c r="F54" s="31">
        <v>0.32040380616127373</v>
      </c>
      <c r="G54" s="10">
        <v>0.23321307573086733</v>
      </c>
      <c r="H54" s="98">
        <v>9.8988157063152518E-2</v>
      </c>
      <c r="I54" s="17">
        <v>0.345778690782861</v>
      </c>
      <c r="J54" s="31">
        <v>0.23805986094852213</v>
      </c>
      <c r="K54" s="17">
        <v>0.62304372272025799</v>
      </c>
      <c r="L54" s="31">
        <v>0.85730797600093533</v>
      </c>
      <c r="M54" s="17">
        <v>0.55169604091482305</v>
      </c>
      <c r="N54" s="31">
        <v>6.3469743981203877E-2</v>
      </c>
      <c r="O54" s="10">
        <v>0.1007400756452769</v>
      </c>
      <c r="P54" s="91">
        <v>0.15470495029367048</v>
      </c>
    </row>
    <row r="55" spans="1:16">
      <c r="A55" s="47" t="s">
        <v>142</v>
      </c>
      <c r="B55" s="9" t="s">
        <v>202</v>
      </c>
      <c r="C55" s="10"/>
      <c r="D55" s="6"/>
      <c r="E55" s="10">
        <v>0.12330535900917999</v>
      </c>
      <c r="F55" s="31">
        <v>0.11692606976509108</v>
      </c>
      <c r="G55" s="17"/>
      <c r="H55" s="98"/>
      <c r="I55" s="17"/>
      <c r="J55" s="29"/>
      <c r="K55" s="10"/>
      <c r="L55" s="6"/>
      <c r="M55" s="10"/>
      <c r="N55" s="6"/>
      <c r="O55" s="10"/>
      <c r="P55" s="10"/>
    </row>
    <row r="56" spans="1:16" ht="17">
      <c r="A56" s="47" t="s">
        <v>144</v>
      </c>
      <c r="B56" s="9" t="s">
        <v>202</v>
      </c>
      <c r="C56" s="10"/>
      <c r="D56" s="6"/>
      <c r="E56" s="10">
        <v>1.3965528234875162E-2</v>
      </c>
      <c r="F56" s="31">
        <v>0.17935276633414438</v>
      </c>
      <c r="G56" s="10">
        <v>1.5808328651393179E-2</v>
      </c>
      <c r="H56" s="98">
        <v>9.8988157063152518E-2</v>
      </c>
      <c r="I56" s="10">
        <v>1.1719342740224676E-2</v>
      </c>
      <c r="J56" s="31">
        <v>0.12386276754212192</v>
      </c>
      <c r="K56" s="7">
        <v>0</v>
      </c>
      <c r="L56" s="31">
        <v>0.13729797758546605</v>
      </c>
      <c r="M56" s="10">
        <v>5.0852509567227262E-2</v>
      </c>
      <c r="N56" s="31">
        <v>0.15885536176150453</v>
      </c>
      <c r="O56" s="10"/>
      <c r="P56" s="10"/>
    </row>
    <row r="57" spans="1:16">
      <c r="A57" s="47" t="s">
        <v>145</v>
      </c>
      <c r="B57" s="9" t="s">
        <v>190</v>
      </c>
      <c r="C57" s="10"/>
      <c r="D57" s="6"/>
      <c r="E57" s="7"/>
      <c r="F57" s="8"/>
      <c r="G57" s="11">
        <v>1.6534057237168301E-3</v>
      </c>
      <c r="H57" s="98">
        <v>9.8988157063152518E-2</v>
      </c>
      <c r="I57" s="11">
        <v>6.0479182048935997E-3</v>
      </c>
      <c r="J57" s="31">
        <v>0.21830827332071923</v>
      </c>
      <c r="K57" s="17">
        <v>1.0889162971560999</v>
      </c>
      <c r="L57" s="31">
        <v>0.99851148225187747</v>
      </c>
      <c r="M57" s="17">
        <v>0.24758781688938999</v>
      </c>
      <c r="N57" s="31">
        <v>0.27922793083955366</v>
      </c>
      <c r="O57" s="10"/>
      <c r="P57" s="10"/>
    </row>
    <row r="58" spans="1:16">
      <c r="A58" s="47" t="s">
        <v>146</v>
      </c>
      <c r="B58" s="9" t="s">
        <v>190</v>
      </c>
      <c r="C58" s="10"/>
      <c r="D58" s="6"/>
      <c r="E58" s="7"/>
      <c r="F58" s="8"/>
      <c r="G58" s="11">
        <v>9.0614722402170295E-3</v>
      </c>
      <c r="H58" s="98">
        <v>9.8988157063152518E-2</v>
      </c>
      <c r="I58" s="10">
        <v>1.88037497637869E-2</v>
      </c>
      <c r="J58" s="31">
        <v>0.26493578666626122</v>
      </c>
      <c r="K58" s="17">
        <v>0.84414348868310896</v>
      </c>
      <c r="L58" s="31">
        <v>0.99851148225187747</v>
      </c>
      <c r="M58" s="17">
        <v>0.333919912678595</v>
      </c>
      <c r="N58" s="31">
        <v>0.29111177075583394</v>
      </c>
      <c r="O58" s="10"/>
      <c r="P58" s="10"/>
    </row>
    <row r="59" spans="1:16">
      <c r="A59" s="47" t="s">
        <v>147</v>
      </c>
      <c r="B59" s="9" t="s">
        <v>190</v>
      </c>
      <c r="C59" s="10"/>
      <c r="D59" s="6"/>
      <c r="E59" s="7"/>
      <c r="F59" s="8"/>
      <c r="G59" s="10">
        <v>1.12648317699219E-2</v>
      </c>
      <c r="H59" s="98">
        <v>9.8988157063152518E-2</v>
      </c>
      <c r="I59" s="10">
        <v>9.7075827421527101E-3</v>
      </c>
      <c r="J59" s="31">
        <v>0.21361335231274406</v>
      </c>
      <c r="K59" s="10">
        <v>1.0167948469711099</v>
      </c>
      <c r="L59" s="31">
        <v>0.88828416445074554</v>
      </c>
      <c r="M59" s="12">
        <v>1.49331565090938E-2</v>
      </c>
      <c r="N59" s="31">
        <v>0.181413342235928</v>
      </c>
      <c r="O59" s="10"/>
      <c r="P59" s="10"/>
    </row>
    <row r="60" spans="1:16">
      <c r="A60" s="47" t="s">
        <v>148</v>
      </c>
      <c r="B60" s="9" t="s">
        <v>202</v>
      </c>
      <c r="C60" s="10"/>
      <c r="D60" s="6"/>
      <c r="E60" s="7"/>
      <c r="F60" s="8"/>
      <c r="G60" s="10">
        <v>1.10513498832848E-2</v>
      </c>
      <c r="H60" s="98">
        <v>9.8988157063152518E-2</v>
      </c>
      <c r="I60" s="10">
        <v>9.2583440593290208E-3</v>
      </c>
      <c r="J60" s="31">
        <v>0.13928266643524448</v>
      </c>
      <c r="K60" s="17">
        <v>1.60142556639234</v>
      </c>
      <c r="L60" s="31">
        <v>0.88828416445074554</v>
      </c>
      <c r="M60" s="10">
        <v>4.50982094465694E-2</v>
      </c>
      <c r="N60" s="31">
        <v>0.13246513409827387</v>
      </c>
      <c r="O60" s="10"/>
      <c r="P60" s="10"/>
    </row>
    <row r="61" spans="1:16">
      <c r="A61" s="47" t="s">
        <v>149</v>
      </c>
      <c r="B61" s="9" t="s">
        <v>190</v>
      </c>
      <c r="C61" s="10"/>
      <c r="D61" s="6"/>
      <c r="E61" s="7"/>
      <c r="F61" s="8"/>
      <c r="G61" s="17"/>
      <c r="H61" s="29"/>
      <c r="I61" s="17"/>
      <c r="J61" s="29"/>
      <c r="K61" s="10">
        <v>6.6802364551364402E-2</v>
      </c>
      <c r="L61" s="98">
        <v>1</v>
      </c>
      <c r="M61" s="10">
        <v>0.106046827179598</v>
      </c>
      <c r="N61" s="98">
        <v>0.9959781581161703</v>
      </c>
      <c r="O61" s="10"/>
      <c r="P61" s="10"/>
    </row>
    <row r="62" spans="1:16">
      <c r="A62" s="47" t="s">
        <v>150</v>
      </c>
      <c r="B62" s="9" t="s">
        <v>190</v>
      </c>
      <c r="C62" s="10"/>
      <c r="D62" s="6"/>
      <c r="E62" s="7"/>
      <c r="F62" s="8"/>
      <c r="G62" s="17"/>
      <c r="H62" s="29"/>
      <c r="I62" s="17"/>
      <c r="J62" s="29"/>
      <c r="K62" s="11">
        <v>4.1095992613625299E-3</v>
      </c>
      <c r="L62" s="98">
        <v>1</v>
      </c>
      <c r="M62" s="11">
        <v>3.9439225839961196E-3</v>
      </c>
      <c r="N62" s="98">
        <v>0.9959781581161703</v>
      </c>
      <c r="O62" s="10"/>
      <c r="P62" s="10"/>
    </row>
    <row r="63" spans="1:16">
      <c r="A63" s="47" t="s">
        <v>151</v>
      </c>
      <c r="B63" s="9" t="s">
        <v>190</v>
      </c>
      <c r="C63" s="10"/>
      <c r="D63" s="6"/>
      <c r="E63" s="7"/>
      <c r="F63" s="8"/>
      <c r="G63" s="11"/>
      <c r="H63" s="175"/>
      <c r="I63" s="17"/>
      <c r="J63" s="29"/>
      <c r="K63" s="7"/>
      <c r="L63" s="6"/>
      <c r="M63" s="10"/>
      <c r="N63" s="6"/>
      <c r="O63" s="11">
        <v>1.1678938560019499E-2</v>
      </c>
      <c r="P63" s="91">
        <v>0.18616458524347962</v>
      </c>
    </row>
    <row r="64" spans="1:16">
      <c r="A64" s="47" t="s">
        <v>203</v>
      </c>
      <c r="B64" s="9" t="s">
        <v>190</v>
      </c>
      <c r="C64" s="10"/>
      <c r="D64" s="6"/>
      <c r="E64" s="7"/>
      <c r="F64" s="8"/>
      <c r="G64" s="17"/>
      <c r="H64" s="29"/>
      <c r="I64" s="17"/>
      <c r="J64" s="29"/>
      <c r="K64" s="10"/>
      <c r="L64" s="6"/>
      <c r="M64" s="10"/>
      <c r="N64" s="6"/>
      <c r="O64" s="13">
        <v>3.0290065231182346E-7</v>
      </c>
      <c r="P64" s="91">
        <v>7.125617303429603E-2</v>
      </c>
    </row>
    <row r="65" spans="1:18">
      <c r="A65" s="47"/>
      <c r="B65" s="9"/>
      <c r="C65" s="10"/>
      <c r="D65" s="6"/>
      <c r="E65" s="7"/>
      <c r="F65" s="8"/>
      <c r="G65" s="17"/>
      <c r="H65" s="29"/>
      <c r="I65" s="17"/>
      <c r="J65" s="29"/>
      <c r="K65" s="10"/>
      <c r="L65" s="6"/>
      <c r="M65" s="10"/>
      <c r="N65" s="6"/>
      <c r="O65" s="13"/>
      <c r="P65" s="13"/>
    </row>
    <row r="66" spans="1:18">
      <c r="A66" s="45" t="s">
        <v>152</v>
      </c>
      <c r="B66" s="44"/>
      <c r="C66" s="10"/>
      <c r="D66" s="6"/>
      <c r="E66" s="7"/>
      <c r="F66" s="8"/>
      <c r="G66" s="17"/>
      <c r="H66" s="29"/>
      <c r="I66" s="17"/>
      <c r="J66" s="29"/>
      <c r="K66" s="10"/>
      <c r="L66" s="6"/>
      <c r="M66" s="10"/>
      <c r="N66" s="6"/>
      <c r="O66" s="10"/>
      <c r="P66" s="10"/>
      <c r="Q66" s="102"/>
    </row>
    <row r="67" spans="1:18">
      <c r="A67" s="47" t="s">
        <v>107</v>
      </c>
      <c r="B67" s="9" t="s">
        <v>191</v>
      </c>
      <c r="C67" s="17">
        <v>8.018378015942651E-2</v>
      </c>
      <c r="D67" s="188">
        <v>0.32913546647764458</v>
      </c>
      <c r="E67" s="7">
        <v>2.20011083824041</v>
      </c>
      <c r="F67" s="31">
        <v>0.31871691001754693</v>
      </c>
      <c r="G67" s="17">
        <v>0.51025052669347404</v>
      </c>
      <c r="H67" s="31">
        <v>9.8988157063152518E-2</v>
      </c>
      <c r="I67" s="17">
        <v>0.47329328988347202</v>
      </c>
      <c r="J67" s="31">
        <v>0.1492716625487209</v>
      </c>
      <c r="K67" s="10">
        <v>0.112948313071828</v>
      </c>
      <c r="L67" s="31">
        <v>1</v>
      </c>
      <c r="M67" s="10">
        <v>4.0445717499638398</v>
      </c>
      <c r="N67" s="31">
        <v>0.26975334388173466</v>
      </c>
      <c r="O67" s="10">
        <v>1.75532419264564</v>
      </c>
      <c r="P67" s="91">
        <v>0.14136638122161244</v>
      </c>
    </row>
    <row r="68" spans="1:18">
      <c r="A68" s="47" t="s">
        <v>109</v>
      </c>
      <c r="B68" s="9" t="s">
        <v>191</v>
      </c>
      <c r="C68" s="17">
        <v>0.23837606101122327</v>
      </c>
      <c r="D68" s="188">
        <v>0.3056966960305344</v>
      </c>
      <c r="E68" s="7">
        <v>1.97894976539517</v>
      </c>
      <c r="F68" s="31">
        <v>0.2761998060517909</v>
      </c>
      <c r="G68" s="17">
        <v>1.4192641596713322</v>
      </c>
      <c r="H68" s="31">
        <v>0.92311522173167171</v>
      </c>
      <c r="I68" s="17">
        <v>1.4400480147144099</v>
      </c>
      <c r="J68" s="31">
        <v>0.19277361881529145</v>
      </c>
      <c r="K68" s="10">
        <v>1.41926415967133</v>
      </c>
      <c r="L68" s="31">
        <v>1</v>
      </c>
      <c r="M68" s="10">
        <v>33.232639543120897</v>
      </c>
      <c r="N68" s="31">
        <v>0.33189721549242374</v>
      </c>
      <c r="O68" s="10">
        <v>6.2207195765515841</v>
      </c>
      <c r="P68" s="91">
        <v>0.10282947579754283</v>
      </c>
    </row>
    <row r="69" spans="1:18">
      <c r="A69" s="47" t="s">
        <v>153</v>
      </c>
      <c r="B69" s="9" t="s">
        <v>190</v>
      </c>
      <c r="C69" s="10"/>
      <c r="D69" s="6"/>
      <c r="E69" s="10">
        <v>7.6266345111033196E-2</v>
      </c>
      <c r="F69" s="31">
        <v>0.22862736031131481</v>
      </c>
      <c r="G69" s="11">
        <v>3.38607048497497E-3</v>
      </c>
      <c r="H69" s="31">
        <v>1.9933357363645751E-2</v>
      </c>
      <c r="I69" s="10">
        <v>1.4992783346079201E-2</v>
      </c>
      <c r="J69" s="31">
        <v>9.8821943345273833E-2</v>
      </c>
      <c r="K69" s="10">
        <v>5.6169097650865599E-2</v>
      </c>
      <c r="L69" s="31">
        <v>1</v>
      </c>
      <c r="M69" s="10">
        <v>0.18451348381441099</v>
      </c>
      <c r="N69" s="31">
        <v>0.20059385135036617</v>
      </c>
      <c r="O69" s="11">
        <v>3.2974749241411398E-3</v>
      </c>
      <c r="P69" s="91">
        <v>0.13934868164412398</v>
      </c>
    </row>
    <row r="70" spans="1:18">
      <c r="A70" s="47" t="s">
        <v>154</v>
      </c>
      <c r="B70" s="9" t="s">
        <v>190</v>
      </c>
      <c r="C70" s="10"/>
      <c r="D70" s="6"/>
      <c r="E70" s="17">
        <v>0.81934934070469401</v>
      </c>
      <c r="F70" s="31">
        <v>0.17779919285135512</v>
      </c>
      <c r="G70" s="10">
        <v>3.1822374540667303E-2</v>
      </c>
      <c r="H70" s="31">
        <v>1.9933357363645751E-2</v>
      </c>
      <c r="I70" s="10">
        <v>2.57707066872674E-2</v>
      </c>
      <c r="J70" s="31">
        <v>0.10133592686719611</v>
      </c>
      <c r="K70" s="10">
        <v>0</v>
      </c>
      <c r="L70" s="31">
        <v>0.96362976513659149</v>
      </c>
      <c r="M70" s="12">
        <v>1.42294072790108E-3</v>
      </c>
      <c r="N70" s="31">
        <v>0.15006656889166364</v>
      </c>
      <c r="O70" s="11">
        <v>1.20446872998476E-2</v>
      </c>
      <c r="P70" s="91">
        <v>0.12790640788004459</v>
      </c>
    </row>
    <row r="71" spans="1:18">
      <c r="A71" s="47" t="s">
        <v>142</v>
      </c>
      <c r="B71" s="9" t="s">
        <v>202</v>
      </c>
      <c r="C71" s="10"/>
      <c r="D71" s="6"/>
      <c r="E71" s="12">
        <v>1.3617369378379001E-4</v>
      </c>
      <c r="F71" s="31">
        <v>0.14107486961787069</v>
      </c>
      <c r="G71" s="17"/>
      <c r="H71" s="29"/>
      <c r="I71" s="17"/>
      <c r="J71" s="29"/>
      <c r="K71" s="10"/>
      <c r="L71" s="6"/>
      <c r="M71" s="10"/>
      <c r="N71" s="6"/>
      <c r="O71" s="10"/>
      <c r="P71" s="10"/>
    </row>
    <row r="72" spans="1:18">
      <c r="A72" s="47" t="s">
        <v>155</v>
      </c>
      <c r="B72" s="9" t="s">
        <v>190</v>
      </c>
      <c r="C72" s="10"/>
      <c r="D72" s="6"/>
      <c r="E72" s="7"/>
      <c r="F72" s="8"/>
      <c r="G72" s="11">
        <v>8.9141270277108206E-3</v>
      </c>
      <c r="H72" s="31">
        <v>9.8988157063152518E-2</v>
      </c>
      <c r="I72" s="172">
        <v>7.6564945969850497E-3</v>
      </c>
      <c r="J72" s="31">
        <v>9.3249373201506919E-2</v>
      </c>
      <c r="K72" s="17">
        <v>8.4601490130857299E-2</v>
      </c>
      <c r="L72" s="31">
        <v>1</v>
      </c>
      <c r="M72" s="17">
        <v>0.30679964355175199</v>
      </c>
      <c r="N72" s="31">
        <v>0.19006594367931412</v>
      </c>
      <c r="O72" s="10"/>
      <c r="P72" s="10"/>
    </row>
    <row r="73" spans="1:18">
      <c r="A73" s="47" t="s">
        <v>156</v>
      </c>
      <c r="B73" s="9" t="s">
        <v>202</v>
      </c>
      <c r="C73" s="10"/>
      <c r="D73" s="6"/>
      <c r="E73" s="7"/>
      <c r="F73" s="8"/>
      <c r="G73" s="10">
        <v>4.2894000712072902E-2</v>
      </c>
      <c r="H73" s="31">
        <v>9.8988157063152518E-2</v>
      </c>
      <c r="I73" s="50">
        <v>3.7540053165016601E-2</v>
      </c>
      <c r="J73" s="31">
        <v>9.604196203252735E-2</v>
      </c>
      <c r="K73" s="10">
        <v>0.22922896835432999</v>
      </c>
      <c r="L73" s="31">
        <v>1</v>
      </c>
      <c r="M73" s="10">
        <v>8.75265863247119E-3</v>
      </c>
      <c r="N73" s="31">
        <v>0.15024021800133674</v>
      </c>
      <c r="O73" s="10"/>
      <c r="P73" s="10"/>
    </row>
    <row r="74" spans="1:18">
      <c r="A74" s="47"/>
      <c r="B74" s="9"/>
      <c r="C74" s="10"/>
      <c r="D74" s="6"/>
      <c r="E74" s="11"/>
      <c r="F74" s="8"/>
      <c r="G74" s="17"/>
      <c r="H74" s="29"/>
      <c r="I74" s="17"/>
      <c r="J74" s="29"/>
      <c r="K74" s="17"/>
      <c r="L74" s="29"/>
      <c r="M74" s="17"/>
      <c r="N74" s="29"/>
      <c r="O74" s="10"/>
      <c r="P74" s="10"/>
    </row>
    <row r="75" spans="1:18">
      <c r="A75" s="45" t="s">
        <v>157</v>
      </c>
      <c r="B75" s="44"/>
      <c r="C75" s="10"/>
      <c r="D75" s="6"/>
      <c r="E75" s="7"/>
      <c r="F75" s="8"/>
      <c r="G75" s="17"/>
      <c r="H75" s="29"/>
      <c r="I75" s="17"/>
      <c r="J75" s="29"/>
      <c r="K75" s="17"/>
      <c r="L75" s="29"/>
      <c r="M75" s="17"/>
      <c r="N75" s="29"/>
      <c r="O75" s="10"/>
      <c r="P75" s="10"/>
    </row>
    <row r="76" spans="1:18">
      <c r="A76" s="47" t="s">
        <v>158</v>
      </c>
      <c r="B76" s="9" t="s">
        <v>190</v>
      </c>
      <c r="C76" s="10"/>
      <c r="D76" s="6"/>
      <c r="E76" s="7">
        <v>11.8203863793662</v>
      </c>
      <c r="F76" s="31">
        <v>0.23154771259191873</v>
      </c>
      <c r="G76" s="17"/>
      <c r="H76" s="29"/>
      <c r="I76" s="17"/>
      <c r="J76" s="29"/>
      <c r="K76" s="17"/>
      <c r="L76" s="29"/>
      <c r="M76" s="17"/>
      <c r="N76" s="29"/>
      <c r="O76" s="10"/>
      <c r="P76" s="10"/>
    </row>
    <row r="77" spans="1:18">
      <c r="A77" s="47" t="s">
        <v>159</v>
      </c>
      <c r="B77" s="9" t="s">
        <v>190</v>
      </c>
      <c r="C77" s="10"/>
      <c r="D77" s="6"/>
      <c r="E77" s="7"/>
      <c r="F77" s="8"/>
      <c r="G77" s="17"/>
      <c r="H77" s="29"/>
      <c r="I77" s="17"/>
      <c r="J77" s="29"/>
      <c r="K77" s="17">
        <v>6.8580558726341652</v>
      </c>
      <c r="L77" s="31">
        <v>0.96362976513659149</v>
      </c>
      <c r="M77" s="17">
        <v>4.7493437843506747</v>
      </c>
      <c r="N77" s="98">
        <v>0.2102419522892478</v>
      </c>
      <c r="O77" s="10"/>
      <c r="P77" s="10"/>
    </row>
    <row r="78" spans="1:18">
      <c r="A78" s="47" t="s">
        <v>160</v>
      </c>
      <c r="B78" s="9" t="s">
        <v>190</v>
      </c>
      <c r="C78" s="10"/>
      <c r="D78" s="6"/>
      <c r="E78" s="7"/>
      <c r="F78" s="8"/>
      <c r="G78" s="17"/>
      <c r="H78" s="29"/>
      <c r="I78" s="17"/>
      <c r="J78" s="29"/>
      <c r="K78" s="17">
        <v>1.5725303786700886</v>
      </c>
      <c r="L78" s="31">
        <v>0.96362976513659149</v>
      </c>
      <c r="M78" s="17">
        <v>5.2222507348988767</v>
      </c>
      <c r="N78" s="98">
        <v>0.20397333945989435</v>
      </c>
      <c r="O78" s="10"/>
      <c r="P78" s="10"/>
    </row>
    <row r="79" spans="1:18">
      <c r="A79" s="47" t="s">
        <v>161</v>
      </c>
      <c r="B79" s="9" t="s">
        <v>190</v>
      </c>
      <c r="C79" s="10"/>
      <c r="D79" s="6"/>
      <c r="E79" s="7"/>
      <c r="F79" s="8"/>
      <c r="G79" s="17">
        <v>0.75779817857262122</v>
      </c>
      <c r="H79" s="31">
        <v>0.92311522173167171</v>
      </c>
      <c r="I79" s="17">
        <v>2.5965792186723702</v>
      </c>
      <c r="J79" s="31">
        <v>0.26456005537476412</v>
      </c>
      <c r="K79" s="17">
        <v>1.5725303786700899</v>
      </c>
      <c r="L79" s="31">
        <v>0.96362976513659149</v>
      </c>
      <c r="M79" s="17">
        <v>0.623355963654461</v>
      </c>
      <c r="N79" s="98">
        <v>0.18571936964123387</v>
      </c>
      <c r="O79" s="10">
        <v>0.144659927933697</v>
      </c>
      <c r="P79" s="91">
        <v>0.21562394326499837</v>
      </c>
      <c r="Q79" s="101"/>
      <c r="R79" s="101"/>
    </row>
    <row r="80" spans="1:18">
      <c r="A80" s="47" t="s">
        <v>112</v>
      </c>
      <c r="B80" s="9" t="s">
        <v>190</v>
      </c>
      <c r="C80" s="10"/>
      <c r="D80" s="6"/>
      <c r="E80" s="7"/>
      <c r="F80" s="8"/>
      <c r="G80" s="17">
        <v>0.60610103219161282</v>
      </c>
      <c r="H80" s="31">
        <v>9.8988157063152518E-2</v>
      </c>
      <c r="I80" s="17">
        <v>0.667549873978869</v>
      </c>
      <c r="J80" s="31">
        <v>0.1689120206121853</v>
      </c>
      <c r="K80" s="17">
        <v>24.305039264600801</v>
      </c>
      <c r="L80" s="31">
        <v>1</v>
      </c>
      <c r="M80" s="17">
        <v>7.6078754140795999</v>
      </c>
      <c r="N80" s="98">
        <v>0.22053139520055717</v>
      </c>
      <c r="O80" s="10"/>
      <c r="P80" s="10"/>
    </row>
    <row r="81" spans="1:19">
      <c r="A81" s="47" t="s">
        <v>162</v>
      </c>
      <c r="B81" s="9" t="s">
        <v>190</v>
      </c>
      <c r="C81" s="10"/>
      <c r="D81" s="6"/>
      <c r="E81" s="7"/>
      <c r="F81" s="8"/>
      <c r="G81" s="7"/>
      <c r="H81" s="8"/>
      <c r="I81" s="7"/>
      <c r="J81" s="8"/>
      <c r="K81" s="10"/>
      <c r="L81" s="6"/>
      <c r="M81" s="10"/>
      <c r="N81" s="6"/>
      <c r="O81" s="10">
        <v>10.860813319626301</v>
      </c>
      <c r="P81" s="91">
        <v>0.30389520993518671</v>
      </c>
    </row>
    <row r="82" spans="1:19">
      <c r="A82" s="47" t="s">
        <v>163</v>
      </c>
      <c r="B82" s="9" t="s">
        <v>190</v>
      </c>
      <c r="C82" s="10"/>
      <c r="D82" s="6"/>
      <c r="E82" s="7"/>
      <c r="F82" s="8"/>
      <c r="G82" s="7"/>
      <c r="H82" s="8"/>
      <c r="I82" s="7"/>
      <c r="J82" s="8"/>
      <c r="K82" s="10"/>
      <c r="L82" s="6"/>
      <c r="M82" s="10"/>
      <c r="N82" s="6"/>
      <c r="O82" s="10">
        <v>0.17078884325955801</v>
      </c>
      <c r="P82" s="91">
        <v>0.21206318375701022</v>
      </c>
      <c r="Q82" s="101"/>
    </row>
    <row r="83" spans="1:19">
      <c r="A83" s="47" t="s">
        <v>137</v>
      </c>
      <c r="B83" s="9" t="s">
        <v>190</v>
      </c>
      <c r="C83" s="10"/>
      <c r="D83" s="6"/>
      <c r="E83" s="7">
        <v>12.385145467538745</v>
      </c>
      <c r="F83" s="31">
        <v>9.9831395785966712E-2</v>
      </c>
      <c r="G83" s="10">
        <v>0.57061601619578051</v>
      </c>
      <c r="H83" s="31">
        <v>9.8988157063152518E-2</v>
      </c>
      <c r="I83" s="7">
        <v>1.2789321659006601</v>
      </c>
      <c r="J83" s="31">
        <v>0.14958844647579067</v>
      </c>
      <c r="K83" s="10"/>
      <c r="L83" s="6"/>
      <c r="M83" s="10"/>
      <c r="N83" s="6"/>
      <c r="O83" s="10"/>
      <c r="P83" s="10"/>
      <c r="S83" s="101"/>
    </row>
    <row r="84" spans="1:19">
      <c r="A84" s="47"/>
      <c r="B84" s="9"/>
      <c r="C84" s="10"/>
      <c r="D84" s="6"/>
      <c r="E84" s="7"/>
      <c r="F84" s="8"/>
      <c r="G84" s="7"/>
      <c r="H84" s="8"/>
      <c r="I84" s="7"/>
      <c r="J84" s="8"/>
      <c r="K84" s="10"/>
      <c r="L84" s="6"/>
      <c r="M84" s="10"/>
      <c r="N84" s="6"/>
      <c r="O84" s="10"/>
      <c r="P84" s="10"/>
    </row>
    <row r="85" spans="1:19">
      <c r="A85" s="45" t="s">
        <v>164</v>
      </c>
      <c r="B85" s="44"/>
      <c r="C85" s="10"/>
      <c r="D85" s="6"/>
      <c r="E85" s="7"/>
      <c r="F85" s="8"/>
      <c r="G85" s="7"/>
      <c r="H85" s="8"/>
      <c r="I85" s="7"/>
      <c r="J85" s="8"/>
      <c r="K85" s="10"/>
      <c r="L85" s="6"/>
      <c r="M85" s="10"/>
      <c r="N85" s="6"/>
      <c r="O85" s="10"/>
      <c r="P85" s="10"/>
      <c r="Q85" s="177"/>
    </row>
    <row r="86" spans="1:19">
      <c r="A86" s="47" t="s">
        <v>165</v>
      </c>
      <c r="B86" s="9" t="s">
        <v>190</v>
      </c>
      <c r="C86" s="10">
        <v>6.2589072809349305E-2</v>
      </c>
      <c r="D86" s="98">
        <v>0.26261027808069798</v>
      </c>
      <c r="E86" s="7"/>
      <c r="F86" s="8"/>
      <c r="G86" s="7"/>
      <c r="H86" s="8"/>
      <c r="I86" s="7"/>
      <c r="J86" s="8"/>
      <c r="K86" s="10"/>
      <c r="L86" s="6"/>
      <c r="M86" s="10"/>
      <c r="N86" s="6"/>
      <c r="O86" s="10"/>
      <c r="P86" s="10"/>
    </row>
    <row r="87" spans="1:19">
      <c r="A87" s="47" t="s">
        <v>231</v>
      </c>
      <c r="B87" s="9" t="s">
        <v>190</v>
      </c>
      <c r="C87" s="7">
        <v>376.2730220277237</v>
      </c>
      <c r="D87" s="98">
        <v>0.28846778790621597</v>
      </c>
      <c r="E87" s="7"/>
      <c r="F87" s="8"/>
      <c r="G87" s="7"/>
      <c r="H87" s="8"/>
      <c r="I87" s="7"/>
      <c r="J87" s="8"/>
      <c r="K87" s="10"/>
      <c r="L87" s="6"/>
      <c r="M87" s="10"/>
      <c r="N87" s="6"/>
      <c r="O87" s="10"/>
      <c r="P87" s="10"/>
    </row>
    <row r="88" spans="1:19">
      <c r="A88" s="47" t="s">
        <v>166</v>
      </c>
      <c r="B88" s="9" t="s">
        <v>190</v>
      </c>
      <c r="C88" s="10"/>
      <c r="D88" s="6"/>
      <c r="E88" s="7">
        <v>1219.5897813495001</v>
      </c>
      <c r="F88" s="31">
        <v>0.55301490234250628</v>
      </c>
      <c r="G88" s="7"/>
      <c r="H88" s="8"/>
      <c r="I88" s="7"/>
      <c r="J88" s="8"/>
      <c r="K88" s="10"/>
      <c r="L88" s="6"/>
      <c r="M88" s="10"/>
      <c r="N88" s="6"/>
      <c r="O88" s="10"/>
      <c r="P88" s="10"/>
      <c r="Q88" s="101"/>
    </row>
    <row r="89" spans="1:19">
      <c r="A89" s="47" t="s">
        <v>167</v>
      </c>
      <c r="B89" s="9" t="s">
        <v>190</v>
      </c>
      <c r="C89" s="10"/>
      <c r="D89" s="6"/>
      <c r="E89" s="7"/>
      <c r="F89" s="8"/>
      <c r="G89" s="7"/>
      <c r="H89" s="8"/>
      <c r="I89" s="7"/>
      <c r="J89" s="8"/>
      <c r="K89" s="17">
        <v>12.539281564661344</v>
      </c>
      <c r="L89" s="31">
        <v>1</v>
      </c>
      <c r="M89" s="17">
        <v>25.116859466427314</v>
      </c>
      <c r="N89" s="31">
        <v>0.24727384788266912</v>
      </c>
      <c r="O89" s="10"/>
      <c r="P89" s="10"/>
    </row>
    <row r="90" spans="1:19">
      <c r="A90" s="47" t="s">
        <v>168</v>
      </c>
      <c r="B90" s="9" t="s">
        <v>190</v>
      </c>
      <c r="C90" s="10"/>
      <c r="D90" s="6"/>
      <c r="E90" s="7"/>
      <c r="F90" s="8"/>
      <c r="G90" s="7"/>
      <c r="H90" s="8"/>
      <c r="I90" s="7"/>
      <c r="J90" s="8"/>
      <c r="K90" s="17">
        <v>0.31688556930317802</v>
      </c>
      <c r="L90" s="31">
        <v>1</v>
      </c>
      <c r="M90" s="17">
        <v>1.4522321199411601</v>
      </c>
      <c r="N90" s="31">
        <v>0.18118932490642797</v>
      </c>
      <c r="O90" s="10"/>
      <c r="P90" s="10"/>
    </row>
    <row r="91" spans="1:19">
      <c r="A91" s="47" t="s">
        <v>169</v>
      </c>
      <c r="B91" s="9" t="s">
        <v>190</v>
      </c>
      <c r="C91" s="10"/>
      <c r="D91" s="6"/>
      <c r="E91" s="7"/>
      <c r="F91" s="8"/>
      <c r="G91" s="7">
        <v>8.6265257591592395</v>
      </c>
      <c r="H91" s="31">
        <v>0.92311522173167171</v>
      </c>
      <c r="I91" s="7">
        <v>11.739354985926999</v>
      </c>
      <c r="J91" s="31">
        <v>0.24207673652916006</v>
      </c>
      <c r="K91" s="17">
        <v>20.989813448570239</v>
      </c>
      <c r="L91" s="31">
        <v>1</v>
      </c>
      <c r="M91" s="17">
        <v>15.435159034847878</v>
      </c>
      <c r="N91" s="31">
        <v>0.22361148672590514</v>
      </c>
      <c r="O91" s="10"/>
      <c r="P91" s="10"/>
    </row>
    <row r="92" spans="1:19">
      <c r="A92" s="47" t="s">
        <v>170</v>
      </c>
      <c r="B92" s="9" t="s">
        <v>190</v>
      </c>
      <c r="C92" s="10"/>
      <c r="D92" s="6"/>
      <c r="E92" s="7"/>
      <c r="F92" s="8"/>
      <c r="G92" s="17">
        <v>7.9680246882773406E-2</v>
      </c>
      <c r="H92" s="31">
        <v>9.8988157063152518E-2</v>
      </c>
      <c r="I92" s="10">
        <v>5.5181247535249403E-2</v>
      </c>
      <c r="J92" s="31">
        <v>0.16119715450189001</v>
      </c>
      <c r="K92" s="17">
        <v>7.9918332175777698</v>
      </c>
      <c r="L92" s="31">
        <v>1</v>
      </c>
      <c r="M92" s="17">
        <v>1.9609560369850301</v>
      </c>
      <c r="N92" s="31">
        <v>0.1591474793708065</v>
      </c>
      <c r="O92" s="10"/>
      <c r="P92" s="10"/>
    </row>
    <row r="93" spans="1:19">
      <c r="A93" s="47" t="s">
        <v>171</v>
      </c>
      <c r="B93" s="9" t="s">
        <v>190</v>
      </c>
      <c r="C93" s="10"/>
      <c r="D93" s="6"/>
      <c r="E93" s="7"/>
      <c r="F93" s="8"/>
      <c r="G93" s="7">
        <v>0.85595160051929997</v>
      </c>
      <c r="H93" s="31">
        <v>0.92311522173167171</v>
      </c>
      <c r="I93" s="7">
        <v>1.85822816353744</v>
      </c>
      <c r="J93" s="31">
        <v>0.23139610240757555</v>
      </c>
      <c r="K93" s="10">
        <v>4.5567518747218802E-2</v>
      </c>
      <c r="L93" s="31">
        <v>1</v>
      </c>
      <c r="M93" s="17">
        <v>0.31800024283743</v>
      </c>
      <c r="N93" s="31">
        <v>0.23663642690928299</v>
      </c>
      <c r="O93" s="10">
        <v>0.77469790392818905</v>
      </c>
      <c r="P93" s="91">
        <v>0.25900928657366823</v>
      </c>
    </row>
    <row r="94" spans="1:19">
      <c r="A94" s="47" t="s">
        <v>162</v>
      </c>
      <c r="B94" s="9" t="s">
        <v>190</v>
      </c>
      <c r="C94" s="10"/>
      <c r="D94" s="6"/>
      <c r="E94" s="7"/>
      <c r="F94" s="8"/>
      <c r="G94" s="7"/>
      <c r="H94" s="8"/>
      <c r="I94" s="7"/>
      <c r="J94" s="8"/>
      <c r="K94" s="10"/>
      <c r="L94" s="6"/>
      <c r="M94" s="10"/>
      <c r="N94" s="6"/>
      <c r="O94" s="10">
        <v>0.127597226352378</v>
      </c>
      <c r="P94" s="91">
        <v>0.27385343615658919</v>
      </c>
    </row>
    <row r="95" spans="1:19">
      <c r="A95" s="47" t="s">
        <v>163</v>
      </c>
      <c r="B95" s="9" t="s">
        <v>190</v>
      </c>
      <c r="C95" s="10"/>
      <c r="D95" s="6"/>
      <c r="E95" s="7"/>
      <c r="F95" s="8"/>
      <c r="G95" s="7"/>
      <c r="H95" s="8"/>
      <c r="I95" s="17"/>
      <c r="J95" s="8"/>
      <c r="K95" s="10"/>
      <c r="L95" s="6"/>
      <c r="M95" s="10"/>
      <c r="N95" s="6"/>
      <c r="O95" s="10">
        <v>0.10280960139439324</v>
      </c>
      <c r="P95" s="91">
        <v>0.24380704727555494</v>
      </c>
    </row>
    <row r="96" spans="1:19">
      <c r="A96" s="47" t="s">
        <v>172</v>
      </c>
      <c r="B96" s="9" t="s">
        <v>190</v>
      </c>
      <c r="C96" s="10"/>
      <c r="D96" s="6"/>
      <c r="E96" s="7">
        <v>25.291903017844593</v>
      </c>
      <c r="F96" s="31">
        <v>0.29998953499224845</v>
      </c>
      <c r="G96" s="7">
        <v>2.9395860283851842</v>
      </c>
      <c r="H96" s="31">
        <v>9.8988157063152518E-2</v>
      </c>
      <c r="I96" s="17">
        <v>2.9884713866865602</v>
      </c>
      <c r="J96" s="31">
        <v>0.15982605037187142</v>
      </c>
      <c r="K96" s="10"/>
      <c r="L96" s="6"/>
      <c r="M96" s="10"/>
      <c r="N96" s="6"/>
      <c r="O96" s="10">
        <v>1.6749124038860075</v>
      </c>
      <c r="P96" s="91">
        <v>0.14454530940823476</v>
      </c>
    </row>
    <row r="97" spans="1:18">
      <c r="A97" s="47" t="s">
        <v>173</v>
      </c>
      <c r="B97" s="9" t="s">
        <v>190</v>
      </c>
      <c r="C97" s="14">
        <v>3.6413434280447902E-2</v>
      </c>
      <c r="D97" s="189">
        <v>0.26409394779171214</v>
      </c>
      <c r="E97" s="35">
        <v>7.8523378364900802</v>
      </c>
      <c r="F97" s="222">
        <v>0.2982147337829012</v>
      </c>
      <c r="G97" s="14">
        <v>2.8344280385623</v>
      </c>
      <c r="H97" s="191">
        <v>9.8988157063152518E-2</v>
      </c>
      <c r="I97" s="103">
        <v>2.6076747483053202</v>
      </c>
      <c r="J97" s="191">
        <v>0.14741214913271278</v>
      </c>
      <c r="K97" s="14"/>
      <c r="L97" s="180"/>
      <c r="M97" s="14"/>
      <c r="N97" s="180"/>
      <c r="O97" s="14">
        <v>1.6141751932412101</v>
      </c>
      <c r="P97" s="99">
        <v>0.12397683810107295</v>
      </c>
      <c r="R97" s="102"/>
    </row>
    <row r="98" spans="1:18">
      <c r="A98" s="44"/>
      <c r="B98" s="44"/>
      <c r="C98" s="44"/>
      <c r="D98" s="44"/>
      <c r="E98" s="10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8" s="25" customFormat="1">
      <c r="A99" s="45" t="s">
        <v>204</v>
      </c>
      <c r="B99" s="73"/>
      <c r="C99" s="75" t="s">
        <v>205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8" s="25" customFormat="1">
      <c r="A100" s="47" t="s">
        <v>206</v>
      </c>
      <c r="B100" s="9" t="s">
        <v>190</v>
      </c>
      <c r="C100" s="269"/>
      <c r="D100" s="269"/>
      <c r="E100" s="269"/>
      <c r="F100" s="269"/>
      <c r="G100" s="273"/>
      <c r="H100" s="269"/>
      <c r="I100" s="279">
        <v>234</v>
      </c>
      <c r="J100" s="272"/>
      <c r="K100" s="273">
        <v>1817.35766666667</v>
      </c>
      <c r="L100" s="273"/>
      <c r="M100" s="273">
        <v>1520.9579581386699</v>
      </c>
      <c r="N100" s="269"/>
      <c r="O100" s="273"/>
      <c r="P100" s="269"/>
      <c r="Q100" s="27"/>
    </row>
    <row r="101" spans="1:18">
      <c r="A101" s="264" t="s">
        <v>233</v>
      </c>
      <c r="B101" s="265" t="s">
        <v>190</v>
      </c>
      <c r="C101" s="266">
        <v>9</v>
      </c>
      <c r="D101" s="270"/>
      <c r="E101" s="266">
        <v>818</v>
      </c>
      <c r="F101" s="270"/>
      <c r="G101" s="266">
        <v>39</v>
      </c>
      <c r="H101" s="270"/>
      <c r="I101" s="266">
        <v>153</v>
      </c>
      <c r="J101" s="270"/>
      <c r="K101" s="270"/>
      <c r="L101" s="270"/>
      <c r="M101" s="270"/>
      <c r="N101" s="270"/>
      <c r="O101" s="266">
        <v>45</v>
      </c>
      <c r="P101" s="270"/>
    </row>
    <row r="102" spans="1:18">
      <c r="A102" s="264" t="s">
        <v>234</v>
      </c>
      <c r="B102" s="265" t="s">
        <v>190</v>
      </c>
      <c r="C102" s="267">
        <v>5.0000000000000001E-4</v>
      </c>
      <c r="D102" s="270"/>
      <c r="E102" s="267">
        <v>7.5600000000000001E-2</v>
      </c>
      <c r="F102" s="270"/>
      <c r="G102" s="267">
        <v>1.5E-3</v>
      </c>
      <c r="H102" s="270"/>
      <c r="I102" s="267">
        <v>3.8E-3</v>
      </c>
      <c r="J102" s="270"/>
      <c r="K102" s="270"/>
      <c r="L102" s="270"/>
      <c r="M102" s="270"/>
      <c r="N102" s="270"/>
      <c r="O102" s="267">
        <v>8.9999999999999998E-4</v>
      </c>
      <c r="P102" s="270"/>
    </row>
    <row r="103" spans="1:18">
      <c r="A103" s="264" t="s">
        <v>235</v>
      </c>
      <c r="B103" s="265" t="s">
        <v>190</v>
      </c>
      <c r="C103" s="268">
        <v>1E-4</v>
      </c>
      <c r="D103" s="271"/>
      <c r="E103" s="274">
        <v>1.0999999999999999E-2</v>
      </c>
      <c r="F103" s="271"/>
      <c r="G103" s="268">
        <v>2.9999999999999997E-4</v>
      </c>
      <c r="H103" s="271"/>
      <c r="I103" s="268">
        <v>5.0000000000000001E-4</v>
      </c>
      <c r="J103" s="271"/>
      <c r="K103" s="271"/>
      <c r="L103" s="271"/>
      <c r="M103" s="271"/>
      <c r="N103" s="271"/>
      <c r="O103" s="268">
        <v>1E-4</v>
      </c>
      <c r="P103" s="271"/>
    </row>
    <row r="104" spans="1:18">
      <c r="G104" s="176"/>
      <c r="I104" s="176"/>
    </row>
  </sheetData>
  <mergeCells count="2"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3"/>
  <sheetViews>
    <sheetView zoomScale="70" zoomScaleNormal="70" workbookViewId="0">
      <pane xSplit="2" ySplit="9" topLeftCell="C28" activePane="bottomRight" state="frozen"/>
      <selection pane="topRight" activeCell="J20" sqref="J20"/>
      <selection pane="bottomLeft" activeCell="J20" sqref="J20"/>
      <selection pane="bottomRight" activeCell="B38" sqref="B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19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05">
        <v>0.53607687603793697</v>
      </c>
      <c r="D4" s="312" t="s">
        <v>176</v>
      </c>
      <c r="E4" s="313"/>
      <c r="F4" s="105">
        <v>67000000</v>
      </c>
      <c r="G4" s="206"/>
      <c r="H4" s="207" t="s">
        <v>177</v>
      </c>
      <c r="I4" s="22">
        <v>1708000</v>
      </c>
      <c r="J4" s="22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2" t="s">
        <v>207</v>
      </c>
      <c r="E5" s="313"/>
      <c r="F5" s="233" t="s">
        <v>100</v>
      </c>
      <c r="G5" s="212"/>
      <c r="H5" s="213" t="s">
        <v>181</v>
      </c>
      <c r="I5" s="23">
        <v>0</v>
      </c>
      <c r="J5" s="224"/>
      <c r="K5" s="210" t="s">
        <v>178</v>
      </c>
      <c r="L5" s="23">
        <v>0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/>
      <c r="F9" s="221"/>
      <c r="G9" s="4">
        <f>C4</f>
        <v>0.53607687603793697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81"/>
      <c r="D10" s="6"/>
      <c r="E10" s="10"/>
      <c r="F10" s="6"/>
      <c r="G10" s="10"/>
      <c r="H10" s="6"/>
      <c r="I10" s="10"/>
      <c r="J10" s="6"/>
      <c r="K10" s="10"/>
      <c r="L10" s="10"/>
    </row>
    <row r="11" spans="1:17" ht="15" customHeight="1">
      <c r="A11" s="46" t="s">
        <v>98</v>
      </c>
      <c r="B11" s="48" t="s">
        <v>189</v>
      </c>
      <c r="C11" s="314" t="s">
        <v>209</v>
      </c>
      <c r="D11" s="8"/>
      <c r="E11" s="314" t="s">
        <v>209</v>
      </c>
      <c r="F11" s="31"/>
      <c r="G11" s="7"/>
      <c r="H11" s="8"/>
      <c r="I11" s="7">
        <v>8454.4284454557164</v>
      </c>
      <c r="J11" s="31">
        <v>0.82597833723653391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314"/>
      <c r="F12" s="31"/>
      <c r="G12" s="7"/>
      <c r="H12" s="8"/>
      <c r="I12" s="7">
        <v>59.908726760898318</v>
      </c>
      <c r="J12" s="31">
        <v>0.82597833723653391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314"/>
      <c r="F13" s="31"/>
      <c r="G13" s="7"/>
      <c r="H13" s="8"/>
      <c r="I13" s="7">
        <v>0</v>
      </c>
      <c r="J13" s="31">
        <v>0.82597833723653391</v>
      </c>
      <c r="K13" s="7"/>
      <c r="L13" s="7"/>
    </row>
    <row r="14" spans="1:17">
      <c r="A14" s="90"/>
      <c r="B14" s="48"/>
      <c r="C14" s="314"/>
      <c r="D14" s="6"/>
      <c r="E14" s="314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314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314"/>
      <c r="F16" s="31"/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314"/>
      <c r="F17" s="31"/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314"/>
      <c r="F18" s="31"/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31"/>
      <c r="E19" s="314"/>
      <c r="F19" s="31"/>
      <c r="G19" s="10">
        <v>1.3248304091763082E-2</v>
      </c>
      <c r="H19" s="31">
        <v>0.35359783098624992</v>
      </c>
      <c r="I19" s="17">
        <v>0.82251407849754898</v>
      </c>
      <c r="J19" s="31">
        <v>0.75830035128805617</v>
      </c>
      <c r="K19" s="10">
        <v>0.67609709272221863</v>
      </c>
      <c r="L19" s="91">
        <v>0.67429057259953162</v>
      </c>
    </row>
    <row r="20" spans="1:12">
      <c r="A20" s="47" t="s">
        <v>109</v>
      </c>
      <c r="B20" s="9" t="s">
        <v>191</v>
      </c>
      <c r="C20" s="314"/>
      <c r="D20" s="31"/>
      <c r="E20" s="314"/>
      <c r="F20" s="31"/>
      <c r="G20" s="7" t="s">
        <v>100</v>
      </c>
      <c r="H20" s="31"/>
      <c r="I20" s="7">
        <v>0</v>
      </c>
      <c r="J20" s="31">
        <v>0.75830035128805617</v>
      </c>
      <c r="K20" s="10">
        <v>0</v>
      </c>
      <c r="L20" s="91">
        <v>0.36231457728337235</v>
      </c>
    </row>
    <row r="21" spans="1:12">
      <c r="A21" s="47" t="s">
        <v>192</v>
      </c>
      <c r="B21" s="9" t="s">
        <v>190</v>
      </c>
      <c r="C21" s="314"/>
      <c r="D21" s="8"/>
      <c r="E21" s="314"/>
      <c r="F21" s="8"/>
      <c r="G21" s="7">
        <v>1407.9477729853254</v>
      </c>
      <c r="H21" s="98">
        <v>0.75550504098360649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314"/>
      <c r="F22" s="8"/>
      <c r="G22" s="7">
        <v>225.26057923888004</v>
      </c>
      <c r="H22" s="98">
        <v>0.75550504098360649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314"/>
      <c r="F23" s="8"/>
      <c r="G23" s="17">
        <v>2.7116871474993465</v>
      </c>
      <c r="H23" s="31">
        <v>0.35359783098624992</v>
      </c>
      <c r="I23" s="7">
        <v>6.8669213331774381</v>
      </c>
      <c r="J23" s="31">
        <v>0.33550175644028102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314"/>
      <c r="F24" s="8"/>
      <c r="G24" s="17">
        <v>3.2625226907705525</v>
      </c>
      <c r="H24" s="31">
        <v>0.35359783098624992</v>
      </c>
      <c r="I24" s="7">
        <v>4.3976217940551834</v>
      </c>
      <c r="J24" s="31">
        <v>0.33550175644028102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314"/>
      <c r="F25" s="8"/>
      <c r="G25" s="10"/>
      <c r="H25" s="6"/>
      <c r="I25" s="7">
        <v>1912.7510896811789</v>
      </c>
      <c r="J25" s="31">
        <v>0.75830035128805617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314"/>
      <c r="F26" s="8"/>
      <c r="G26" s="10"/>
      <c r="H26" s="6"/>
      <c r="I26" s="7">
        <f>C4*1000</f>
        <v>536.07687603793693</v>
      </c>
      <c r="J26" s="31">
        <v>0.93185760222936442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314"/>
      <c r="F27" s="8"/>
      <c r="G27" s="10"/>
      <c r="H27" s="6"/>
      <c r="I27" s="7">
        <v>5.9807861619403839</v>
      </c>
      <c r="J27" s="31">
        <v>0.33550175644028102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314"/>
      <c r="F28" s="8"/>
      <c r="G28" s="12"/>
      <c r="H28" s="6"/>
      <c r="I28" s="7">
        <v>18.177367507018729</v>
      </c>
      <c r="J28" s="31">
        <v>0.75830035128805617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314"/>
      <c r="F29" s="8"/>
      <c r="G29" s="10"/>
      <c r="H29" s="6"/>
      <c r="I29" s="10"/>
      <c r="J29" s="6"/>
      <c r="K29" s="7">
        <v>1000</v>
      </c>
      <c r="L29" s="91">
        <v>0.67429057259953162</v>
      </c>
    </row>
    <row r="30" spans="1:12" ht="15" customHeight="1">
      <c r="A30" s="47" t="s">
        <v>116</v>
      </c>
      <c r="B30" s="9" t="s">
        <v>190</v>
      </c>
      <c r="C30" s="314"/>
      <c r="D30" s="8"/>
      <c r="E30" s="314"/>
      <c r="F30" s="8"/>
      <c r="G30" s="10"/>
      <c r="H30" s="6"/>
      <c r="I30" s="10"/>
      <c r="J30" s="6"/>
      <c r="K30" s="7">
        <v>1.7322189408623783E-5</v>
      </c>
      <c r="L30" s="91">
        <v>0.67429057259953162</v>
      </c>
    </row>
    <row r="31" spans="1:12" ht="15" customHeight="1">
      <c r="A31" s="47" t="s">
        <v>117</v>
      </c>
      <c r="B31" s="9" t="s">
        <v>190</v>
      </c>
      <c r="C31" s="314"/>
      <c r="D31" s="8"/>
      <c r="E31" s="314"/>
      <c r="F31" s="8"/>
      <c r="G31" s="10"/>
      <c r="H31" s="6"/>
      <c r="I31" s="10"/>
      <c r="J31" s="6"/>
      <c r="K31" s="7">
        <v>0</v>
      </c>
      <c r="L31" s="91">
        <v>0.36231457728337235</v>
      </c>
    </row>
    <row r="32" spans="1:12" ht="18.75" customHeight="1">
      <c r="A32" s="47" t="s">
        <v>118</v>
      </c>
      <c r="B32" s="9" t="s">
        <v>190</v>
      </c>
      <c r="C32" s="314"/>
      <c r="D32" s="8"/>
      <c r="E32" s="314"/>
      <c r="F32" s="8"/>
      <c r="G32" s="10"/>
      <c r="H32" s="6"/>
      <c r="I32" s="10"/>
      <c r="J32" s="6"/>
      <c r="K32" s="7">
        <v>0</v>
      </c>
      <c r="L32" s="91">
        <v>0.36231457728337235</v>
      </c>
    </row>
    <row r="33" spans="1:12" ht="18.75" customHeight="1">
      <c r="A33" s="47" t="s">
        <v>119</v>
      </c>
      <c r="B33" s="9" t="s">
        <v>190</v>
      </c>
      <c r="C33" s="314"/>
      <c r="D33" s="8"/>
      <c r="E33" s="314"/>
      <c r="F33" s="8"/>
      <c r="G33" s="10"/>
      <c r="H33" s="6"/>
      <c r="I33" s="10"/>
      <c r="J33" s="6"/>
      <c r="K33" s="7">
        <v>0</v>
      </c>
      <c r="L33" s="91">
        <v>0.36231457728337235</v>
      </c>
    </row>
    <row r="34" spans="1:12" ht="18.75" customHeight="1">
      <c r="A34" s="47"/>
      <c r="B34" s="9"/>
      <c r="C34" s="314"/>
      <c r="D34" s="8"/>
      <c r="E34" s="314"/>
      <c r="F34" s="8"/>
      <c r="G34" s="10"/>
      <c r="H34" s="6"/>
      <c r="I34" s="10"/>
      <c r="J34" s="6"/>
      <c r="K34" s="10"/>
      <c r="L34" s="91"/>
    </row>
    <row r="35" spans="1:12">
      <c r="A35" s="34" t="s">
        <v>120</v>
      </c>
      <c r="B35" s="9"/>
      <c r="C35" s="314"/>
      <c r="D35" s="8"/>
      <c r="E35" s="314"/>
      <c r="F35" s="6"/>
      <c r="G35" s="186"/>
      <c r="H35" s="187"/>
      <c r="I35" s="186"/>
      <c r="J35" s="187"/>
      <c r="K35" s="227"/>
      <c r="L35" s="227"/>
    </row>
    <row r="36" spans="1:12" s="25" customFormat="1">
      <c r="A36" s="92" t="s">
        <v>121</v>
      </c>
      <c r="B36" s="93" t="s">
        <v>191</v>
      </c>
      <c r="C36" s="314"/>
      <c r="D36" s="37"/>
      <c r="E36" s="314"/>
      <c r="F36" s="37"/>
      <c r="G36" s="10">
        <v>1.3248304091763082E-2</v>
      </c>
      <c r="H36" s="98">
        <v>0.35359783098624992</v>
      </c>
      <c r="I36" s="17">
        <v>0.28608798384746537</v>
      </c>
      <c r="J36" s="98">
        <v>0.75830035128805617</v>
      </c>
      <c r="K36" s="17">
        <v>0.43061313626371506</v>
      </c>
      <c r="L36" s="171">
        <v>0.67429057259953162</v>
      </c>
    </row>
    <row r="37" spans="1:12" s="25" customFormat="1">
      <c r="A37" s="92" t="s">
        <v>122</v>
      </c>
      <c r="B37" s="93" t="s">
        <v>191</v>
      </c>
      <c r="C37" s="314"/>
      <c r="D37" s="37"/>
      <c r="E37" s="314"/>
      <c r="F37" s="37"/>
      <c r="G37" s="10" t="s">
        <v>100</v>
      </c>
      <c r="H37" s="185"/>
      <c r="I37" s="7">
        <v>0</v>
      </c>
      <c r="J37" s="98">
        <v>0.75830035128805617</v>
      </c>
      <c r="K37" s="7">
        <v>0</v>
      </c>
      <c r="L37" s="171">
        <v>0.36231457728337235</v>
      </c>
    </row>
    <row r="38" spans="1:12">
      <c r="A38" s="47" t="s">
        <v>123</v>
      </c>
      <c r="B38" s="9" t="s">
        <v>210</v>
      </c>
      <c r="C38" s="314"/>
      <c r="D38" s="31"/>
      <c r="E38" s="314"/>
      <c r="F38" s="31"/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314"/>
      <c r="F39" s="31"/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31"/>
      <c r="E40" s="314"/>
      <c r="F40" s="31"/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31"/>
      <c r="E41" s="314"/>
      <c r="F41" s="31"/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6"/>
      <c r="E42" s="314"/>
      <c r="F42" s="6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6"/>
      <c r="E43" s="314"/>
      <c r="F43" s="6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314"/>
      <c r="F44" s="31"/>
      <c r="G44" s="7">
        <v>0</v>
      </c>
      <c r="H44" s="98">
        <v>0.75550504098360649</v>
      </c>
      <c r="I44" s="186"/>
      <c r="J44" s="187"/>
      <c r="K44" s="7">
        <v>0</v>
      </c>
      <c r="L44" s="171">
        <v>0.66506691451990629</v>
      </c>
    </row>
    <row r="45" spans="1:12">
      <c r="A45" s="47" t="s">
        <v>133</v>
      </c>
      <c r="B45" s="9" t="s">
        <v>201</v>
      </c>
      <c r="C45" s="314"/>
      <c r="D45" s="31"/>
      <c r="E45" s="314"/>
      <c r="F45" s="31"/>
      <c r="G45" s="7">
        <v>0</v>
      </c>
      <c r="H45" s="98">
        <v>0.75550504098360649</v>
      </c>
      <c r="I45" s="186"/>
      <c r="J45" s="187"/>
      <c r="K45" s="7">
        <v>0</v>
      </c>
      <c r="L45" s="171">
        <v>0.66506691451990629</v>
      </c>
    </row>
    <row r="46" spans="1:12">
      <c r="A46" s="47" t="s">
        <v>134</v>
      </c>
      <c r="B46" s="9" t="s">
        <v>201</v>
      </c>
      <c r="C46" s="314"/>
      <c r="D46" s="31"/>
      <c r="E46" s="314"/>
      <c r="F46" s="31"/>
      <c r="G46" s="7">
        <v>3966.5212831183671</v>
      </c>
      <c r="H46" s="98">
        <v>0.75550504098360649</v>
      </c>
      <c r="I46" s="186"/>
      <c r="J46" s="187"/>
      <c r="K46" s="7">
        <v>746.80285782781584</v>
      </c>
      <c r="L46" s="171">
        <v>0.66506691451990629</v>
      </c>
    </row>
    <row r="47" spans="1:12">
      <c r="A47" s="47" t="s">
        <v>135</v>
      </c>
      <c r="B47" s="9" t="s">
        <v>201</v>
      </c>
      <c r="C47" s="314"/>
      <c r="D47" s="31"/>
      <c r="E47" s="314"/>
      <c r="F47" s="31"/>
      <c r="G47" s="7">
        <v>0</v>
      </c>
      <c r="H47" s="98">
        <v>0.75550504098360649</v>
      </c>
      <c r="I47" s="186"/>
      <c r="J47" s="187"/>
      <c r="K47" s="7">
        <v>0</v>
      </c>
      <c r="L47" s="171">
        <v>0.66506691451990629</v>
      </c>
    </row>
    <row r="48" spans="1:12">
      <c r="A48" s="47" t="s">
        <v>136</v>
      </c>
      <c r="B48" s="9" t="s">
        <v>201</v>
      </c>
      <c r="C48" s="314"/>
      <c r="D48" s="31"/>
      <c r="E48" s="314"/>
      <c r="F48" s="31"/>
      <c r="G48" s="7">
        <v>618.88856373706699</v>
      </c>
      <c r="H48" s="98">
        <v>0.75550504098360649</v>
      </c>
      <c r="I48" s="7">
        <v>52296.453314533137</v>
      </c>
      <c r="J48" s="98">
        <v>1</v>
      </c>
      <c r="K48" s="7">
        <v>203.61549563572919</v>
      </c>
      <c r="L48" s="171">
        <v>0.66506691451990629</v>
      </c>
    </row>
    <row r="49" spans="1:12">
      <c r="A49" s="47" t="s">
        <v>137</v>
      </c>
      <c r="B49" s="9" t="s">
        <v>201</v>
      </c>
      <c r="C49" s="314"/>
      <c r="D49" s="6"/>
      <c r="E49" s="314"/>
      <c r="F49" s="6"/>
      <c r="G49" s="7">
        <v>0</v>
      </c>
      <c r="H49" s="98">
        <v>0.75550504098360649</v>
      </c>
      <c r="I49" s="186"/>
      <c r="J49" s="187"/>
      <c r="K49" s="7">
        <v>0</v>
      </c>
      <c r="L49" s="171">
        <v>0.66506691451990629</v>
      </c>
    </row>
    <row r="50" spans="1:12">
      <c r="A50" s="47"/>
      <c r="B50" s="9"/>
      <c r="C50" s="314"/>
      <c r="D50" s="6"/>
      <c r="E50" s="314"/>
      <c r="F50" s="6"/>
      <c r="G50" s="10"/>
      <c r="H50" s="6"/>
      <c r="I50" s="10"/>
      <c r="J50" s="6"/>
      <c r="K50" s="10"/>
      <c r="L50" s="10"/>
    </row>
    <row r="51" spans="1:12">
      <c r="A51" s="45" t="s">
        <v>138</v>
      </c>
      <c r="B51" s="44"/>
      <c r="C51" s="314"/>
      <c r="D51" s="6"/>
      <c r="E51" s="314"/>
      <c r="F51" s="6"/>
      <c r="G51" s="10"/>
      <c r="H51" s="6"/>
      <c r="I51" s="10"/>
      <c r="J51" s="6"/>
      <c r="K51" s="10"/>
      <c r="L51" s="10"/>
    </row>
    <row r="52" spans="1:12">
      <c r="A52" s="47" t="s">
        <v>139</v>
      </c>
      <c r="B52" s="9" t="s">
        <v>190</v>
      </c>
      <c r="C52" s="314"/>
      <c r="D52" s="31"/>
      <c r="E52" s="314"/>
      <c r="F52" s="31"/>
      <c r="G52" s="17">
        <v>1.0697214902326857</v>
      </c>
      <c r="H52" s="31">
        <v>0.4115951326510241</v>
      </c>
      <c r="I52" s="7">
        <v>0.43093775996717054</v>
      </c>
      <c r="J52" s="31">
        <v>0.75830035128805617</v>
      </c>
      <c r="K52" s="10">
        <v>5.802786182293118E-3</v>
      </c>
      <c r="L52" s="91">
        <v>0.36231457728337235</v>
      </c>
    </row>
    <row r="53" spans="1:12">
      <c r="A53" s="47" t="s">
        <v>140</v>
      </c>
      <c r="B53" s="9" t="s">
        <v>190</v>
      </c>
      <c r="C53" s="314"/>
      <c r="D53" s="6"/>
      <c r="E53" s="314"/>
      <c r="F53" s="31"/>
      <c r="G53" s="17">
        <v>1.1686695340159294</v>
      </c>
      <c r="H53" s="31">
        <v>0.4115951326510241</v>
      </c>
      <c r="I53" s="7">
        <v>14.104018215270964</v>
      </c>
      <c r="J53" s="31">
        <v>0.75830035128805617</v>
      </c>
      <c r="K53" s="12">
        <v>2.7402045860828615E-4</v>
      </c>
      <c r="L53" s="91">
        <v>0.36231457728337235</v>
      </c>
    </row>
    <row r="54" spans="1:12" ht="17">
      <c r="A54" s="47" t="s">
        <v>141</v>
      </c>
      <c r="B54" s="9" t="s">
        <v>190</v>
      </c>
      <c r="C54" s="314"/>
      <c r="D54" s="6"/>
      <c r="E54" s="314"/>
      <c r="F54" s="31"/>
      <c r="G54" s="17">
        <v>2.4792468551471143</v>
      </c>
      <c r="H54" s="31">
        <v>0.4115951326510241</v>
      </c>
      <c r="I54" s="17" t="s">
        <v>100</v>
      </c>
      <c r="J54" s="31"/>
      <c r="K54" s="10">
        <v>8.4623965158441283E-3</v>
      </c>
      <c r="L54" s="91">
        <v>0.36231457728337235</v>
      </c>
    </row>
    <row r="55" spans="1:12">
      <c r="A55" s="47" t="s">
        <v>142</v>
      </c>
      <c r="B55" s="9" t="s">
        <v>202</v>
      </c>
      <c r="C55" s="314"/>
      <c r="D55" s="6"/>
      <c r="E55" s="314"/>
      <c r="F55" s="31"/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314"/>
      <c r="F56" s="31"/>
      <c r="G56" s="7">
        <v>0</v>
      </c>
      <c r="H56" s="31">
        <v>0.4115951326510241</v>
      </c>
      <c r="I56" s="7">
        <v>0</v>
      </c>
      <c r="J56" s="31">
        <v>0.75830035128805617</v>
      </c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314"/>
      <c r="F57" s="8"/>
      <c r="G57" s="11" t="s">
        <v>100</v>
      </c>
      <c r="H57" s="31"/>
      <c r="I57" s="17">
        <v>0.58790387905318509</v>
      </c>
      <c r="J57" s="31">
        <v>0.33550175644028102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314"/>
      <c r="F58" s="8"/>
      <c r="G58" s="10">
        <v>1.0560826341038073E-2</v>
      </c>
      <c r="H58" s="31">
        <v>0.4115951326510241</v>
      </c>
      <c r="I58" s="17">
        <v>0.36791882499457607</v>
      </c>
      <c r="J58" s="31">
        <v>0.75830035128805617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314"/>
      <c r="F59" s="8"/>
      <c r="G59" s="10" t="s">
        <v>100</v>
      </c>
      <c r="H59" s="31"/>
      <c r="I59" s="17" t="s">
        <v>100</v>
      </c>
      <c r="J59" s="31"/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314"/>
      <c r="F60" s="8"/>
      <c r="G60" s="10" t="s">
        <v>100</v>
      </c>
      <c r="H60" s="31"/>
      <c r="I60" s="17" t="s">
        <v>100</v>
      </c>
      <c r="J60" s="31"/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314"/>
      <c r="F61" s="8"/>
      <c r="G61" s="17"/>
      <c r="H61" s="29"/>
      <c r="I61" s="10">
        <v>2.3226663650361107E-2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314"/>
      <c r="F62" s="8"/>
      <c r="G62" s="17"/>
      <c r="H62" s="29"/>
      <c r="I62" s="12">
        <v>1.1107093684104925E-4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314"/>
      <c r="F63" s="8"/>
      <c r="G63" s="17"/>
      <c r="H63" s="29"/>
      <c r="I63" s="10"/>
      <c r="J63" s="6"/>
      <c r="K63" s="7">
        <v>0</v>
      </c>
      <c r="L63" s="91">
        <v>0.36231457728337235</v>
      </c>
    </row>
    <row r="64" spans="1:12">
      <c r="A64" s="47" t="s">
        <v>203</v>
      </c>
      <c r="B64" s="9" t="s">
        <v>190</v>
      </c>
      <c r="C64" s="314"/>
      <c r="D64" s="6"/>
      <c r="E64" s="314"/>
      <c r="F64" s="8"/>
      <c r="G64" s="17"/>
      <c r="H64" s="29"/>
      <c r="I64" s="10"/>
      <c r="J64" s="6"/>
      <c r="K64" s="13" t="s">
        <v>100</v>
      </c>
      <c r="L64" s="91"/>
    </row>
    <row r="65" spans="1:12">
      <c r="A65" s="47"/>
      <c r="B65" s="9"/>
      <c r="C65" s="314"/>
      <c r="D65" s="6"/>
      <c r="E65" s="314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314"/>
      <c r="D66" s="6"/>
      <c r="E66" s="314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314"/>
      <c r="D67" s="31"/>
      <c r="E67" s="314"/>
      <c r="F67" s="31"/>
      <c r="G67" s="7">
        <v>0</v>
      </c>
      <c r="H67" s="31">
        <v>0.35359783098624992</v>
      </c>
      <c r="I67" s="17">
        <v>0.53642609465008373</v>
      </c>
      <c r="J67" s="31">
        <v>0.75830035128805617</v>
      </c>
      <c r="K67" s="10">
        <v>0.24548395645850352</v>
      </c>
      <c r="L67" s="91">
        <v>0.67429057259953162</v>
      </c>
    </row>
    <row r="68" spans="1:12">
      <c r="A68" s="47" t="s">
        <v>109</v>
      </c>
      <c r="B68" s="9" t="s">
        <v>191</v>
      </c>
      <c r="C68" s="314"/>
      <c r="D68" s="31"/>
      <c r="E68" s="314"/>
      <c r="F68" s="31"/>
      <c r="G68" s="10" t="s">
        <v>100</v>
      </c>
      <c r="H68" s="31"/>
      <c r="I68" s="7">
        <v>0</v>
      </c>
      <c r="J68" s="31">
        <v>0.75830035128805617</v>
      </c>
      <c r="K68" s="7">
        <v>0</v>
      </c>
      <c r="L68" s="91">
        <v>0.36231457728337235</v>
      </c>
    </row>
    <row r="69" spans="1:12">
      <c r="A69" s="47" t="s">
        <v>153</v>
      </c>
      <c r="B69" s="9" t="s">
        <v>190</v>
      </c>
      <c r="C69" s="314"/>
      <c r="D69" s="6"/>
      <c r="E69" s="314"/>
      <c r="F69" s="31"/>
      <c r="G69" s="10" t="s">
        <v>100</v>
      </c>
      <c r="H69" s="31"/>
      <c r="I69" s="17" t="s">
        <v>100</v>
      </c>
      <c r="J69" s="31"/>
      <c r="K69" s="11">
        <v>2.2888767719045073E-3</v>
      </c>
      <c r="L69" s="91">
        <v>0.36231457728337235</v>
      </c>
    </row>
    <row r="70" spans="1:12">
      <c r="A70" s="47" t="s">
        <v>154</v>
      </c>
      <c r="B70" s="9" t="s">
        <v>190</v>
      </c>
      <c r="C70" s="314"/>
      <c r="D70" s="6"/>
      <c r="E70" s="314"/>
      <c r="F70" s="31"/>
      <c r="G70" s="10" t="s">
        <v>100</v>
      </c>
      <c r="H70" s="31"/>
      <c r="I70" s="7">
        <v>0</v>
      </c>
      <c r="J70" s="31">
        <v>0.33550175644028102</v>
      </c>
      <c r="K70" s="11">
        <v>5.0613190590001076E-4</v>
      </c>
      <c r="L70" s="91">
        <v>0.36231457728337235</v>
      </c>
    </row>
    <row r="71" spans="1:12">
      <c r="A71" s="47" t="s">
        <v>142</v>
      </c>
      <c r="B71" s="9" t="s">
        <v>202</v>
      </c>
      <c r="C71" s="314"/>
      <c r="D71" s="6"/>
      <c r="E71" s="314"/>
      <c r="F71" s="31"/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314"/>
      <c r="D72" s="6"/>
      <c r="E72" s="314"/>
      <c r="F72" s="8"/>
      <c r="G72" s="10" t="s">
        <v>100</v>
      </c>
      <c r="H72" s="31"/>
      <c r="I72" s="11">
        <v>5.1986171922580923E-3</v>
      </c>
      <c r="J72" s="31">
        <v>0.33550175644028102</v>
      </c>
      <c r="K72" s="10"/>
      <c r="L72" s="10"/>
    </row>
    <row r="73" spans="1:12">
      <c r="A73" s="47" t="s">
        <v>156</v>
      </c>
      <c r="B73" s="9" t="s">
        <v>202</v>
      </c>
      <c r="C73" s="314"/>
      <c r="D73" s="6"/>
      <c r="E73" s="314"/>
      <c r="F73" s="8"/>
      <c r="G73" s="10" t="s">
        <v>100</v>
      </c>
      <c r="H73" s="31"/>
      <c r="I73" s="7">
        <v>0</v>
      </c>
      <c r="J73" s="31">
        <v>0.33550175644028102</v>
      </c>
      <c r="K73" s="10"/>
      <c r="L73" s="10"/>
    </row>
    <row r="74" spans="1:12">
      <c r="A74" s="47"/>
      <c r="B74" s="9"/>
      <c r="C74" s="314"/>
      <c r="D74" s="6"/>
      <c r="E74" s="314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314"/>
      <c r="D75" s="6"/>
      <c r="E75" s="314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314"/>
      <c r="D76" s="6"/>
      <c r="E76" s="314"/>
      <c r="F76" s="31"/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314"/>
      <c r="D77" s="6"/>
      <c r="E77" s="314"/>
      <c r="F77" s="8"/>
      <c r="G77" s="17"/>
      <c r="H77" s="29"/>
      <c r="I77" s="7">
        <v>0</v>
      </c>
      <c r="J77" s="31">
        <v>0.75830035128805617</v>
      </c>
      <c r="K77" s="10"/>
      <c r="L77" s="10"/>
    </row>
    <row r="78" spans="1:12">
      <c r="A78" s="47" t="s">
        <v>160</v>
      </c>
      <c r="B78" s="9" t="s">
        <v>190</v>
      </c>
      <c r="C78" s="314"/>
      <c r="D78" s="6"/>
      <c r="E78" s="314"/>
      <c r="F78" s="8"/>
      <c r="G78" s="17"/>
      <c r="H78" s="29"/>
      <c r="I78" s="7">
        <v>0</v>
      </c>
      <c r="J78" s="31">
        <v>0.75830035128805617</v>
      </c>
      <c r="K78" s="10"/>
      <c r="L78" s="10"/>
    </row>
    <row r="79" spans="1:12">
      <c r="A79" s="47" t="s">
        <v>161</v>
      </c>
      <c r="B79" s="9" t="s">
        <v>190</v>
      </c>
      <c r="C79" s="314"/>
      <c r="D79" s="6"/>
      <c r="E79" s="314"/>
      <c r="F79" s="8"/>
      <c r="G79" s="17">
        <v>6.4377819935919147</v>
      </c>
      <c r="H79" s="31">
        <v>0.76519296363727407</v>
      </c>
      <c r="I79" s="7">
        <v>0</v>
      </c>
      <c r="J79" s="31">
        <v>0.33550175644028102</v>
      </c>
      <c r="K79" s="10">
        <v>5.5301089687031402E-2</v>
      </c>
      <c r="L79" s="91">
        <v>0.67429057259953162</v>
      </c>
    </row>
    <row r="80" spans="1:12">
      <c r="A80" s="47" t="s">
        <v>112</v>
      </c>
      <c r="B80" s="9" t="s">
        <v>190</v>
      </c>
      <c r="C80" s="314"/>
      <c r="D80" s="6"/>
      <c r="E80" s="314"/>
      <c r="F80" s="8"/>
      <c r="G80" s="17">
        <v>0.30251290837565942</v>
      </c>
      <c r="H80" s="31">
        <v>0.76519296363727407</v>
      </c>
      <c r="I80" s="17">
        <v>4.5183013595825132</v>
      </c>
      <c r="J80" s="31">
        <v>0.75830035128805617</v>
      </c>
      <c r="K80" s="10"/>
      <c r="L80" s="10"/>
    </row>
    <row r="81" spans="1:12">
      <c r="A81" s="47" t="s">
        <v>162</v>
      </c>
      <c r="B81" s="9" t="s">
        <v>190</v>
      </c>
      <c r="C81" s="314"/>
      <c r="D81" s="6"/>
      <c r="E81" s="314"/>
      <c r="F81" s="8"/>
      <c r="G81" s="7"/>
      <c r="H81" s="8"/>
      <c r="I81" s="10"/>
      <c r="J81" s="6"/>
      <c r="K81" s="10">
        <v>7.7134678766331879</v>
      </c>
      <c r="L81" s="91">
        <v>0.67429057259953162</v>
      </c>
    </row>
    <row r="82" spans="1:12">
      <c r="A82" s="47" t="s">
        <v>163</v>
      </c>
      <c r="B82" s="9" t="s">
        <v>190</v>
      </c>
      <c r="C82" s="314"/>
      <c r="D82" s="6"/>
      <c r="E82" s="314"/>
      <c r="F82" s="8"/>
      <c r="G82" s="7"/>
      <c r="H82" s="8"/>
      <c r="I82" s="10"/>
      <c r="J82" s="6"/>
      <c r="K82" s="7">
        <v>0</v>
      </c>
      <c r="L82" s="91">
        <v>0.31197599531615927</v>
      </c>
    </row>
    <row r="83" spans="1:12">
      <c r="A83" s="47" t="s">
        <v>137</v>
      </c>
      <c r="B83" s="9" t="s">
        <v>190</v>
      </c>
      <c r="C83" s="314"/>
      <c r="D83" s="6"/>
      <c r="E83" s="314"/>
      <c r="F83" s="31"/>
      <c r="G83" s="7">
        <v>0.71364807075399284</v>
      </c>
      <c r="H83" s="31">
        <v>0.76519296363727407</v>
      </c>
      <c r="I83" s="10"/>
      <c r="J83" s="6"/>
      <c r="K83" s="10"/>
      <c r="L83" s="10"/>
    </row>
    <row r="84" spans="1:12">
      <c r="A84" s="47"/>
      <c r="B84" s="9"/>
      <c r="C84" s="314"/>
      <c r="D84" s="6"/>
      <c r="E84" s="314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314"/>
      <c r="D85" s="6"/>
      <c r="E85" s="314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314"/>
      <c r="D86" s="31"/>
      <c r="E86" s="314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314"/>
      <c r="D87" s="31"/>
      <c r="E87" s="314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314"/>
      <c r="D88" s="6"/>
      <c r="E88" s="314"/>
      <c r="F88" s="31"/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314"/>
      <c r="D89" s="6"/>
      <c r="E89" s="314"/>
      <c r="F89" s="8"/>
      <c r="G89" s="7"/>
      <c r="H89" s="8"/>
      <c r="I89" s="7">
        <v>7.9826927130423107</v>
      </c>
      <c r="J89" s="31">
        <v>0.75830035128805617</v>
      </c>
      <c r="K89" s="10"/>
      <c r="L89" s="10"/>
    </row>
    <row r="90" spans="1:12">
      <c r="A90" s="47" t="s">
        <v>168</v>
      </c>
      <c r="B90" s="9" t="s">
        <v>190</v>
      </c>
      <c r="C90" s="314"/>
      <c r="D90" s="6"/>
      <c r="E90" s="314"/>
      <c r="F90" s="8"/>
      <c r="G90" s="7"/>
      <c r="H90" s="8"/>
      <c r="I90" s="10">
        <v>4.8564790758328785E-2</v>
      </c>
      <c r="J90" s="31">
        <v>0.75830035128805617</v>
      </c>
      <c r="K90" s="10"/>
      <c r="L90" s="10"/>
    </row>
    <row r="91" spans="1:12">
      <c r="A91" s="47" t="s">
        <v>169</v>
      </c>
      <c r="B91" s="9" t="s">
        <v>190</v>
      </c>
      <c r="C91" s="314"/>
      <c r="D91" s="6"/>
      <c r="E91" s="314"/>
      <c r="F91" s="8"/>
      <c r="G91" s="7">
        <v>3.1449055806678019</v>
      </c>
      <c r="H91" s="31">
        <v>0.76519296363727407</v>
      </c>
      <c r="I91" s="7">
        <v>6.1573746291047486</v>
      </c>
      <c r="J91" s="31">
        <v>0.75830035128805617</v>
      </c>
      <c r="K91" s="10"/>
      <c r="L91" s="10"/>
    </row>
    <row r="92" spans="1:12">
      <c r="A92" s="47" t="s">
        <v>170</v>
      </c>
      <c r="B92" s="9" t="s">
        <v>190</v>
      </c>
      <c r="C92" s="314"/>
      <c r="D92" s="6"/>
      <c r="E92" s="314"/>
      <c r="F92" s="8"/>
      <c r="G92" s="10">
        <v>0.33985002223633515</v>
      </c>
      <c r="H92" s="31">
        <v>0.76519296363727407</v>
      </c>
      <c r="I92" s="17" t="s">
        <v>100</v>
      </c>
      <c r="J92" s="31"/>
      <c r="K92" s="10"/>
      <c r="L92" s="10"/>
    </row>
    <row r="93" spans="1:12">
      <c r="A93" s="47" t="s">
        <v>171</v>
      </c>
      <c r="B93" s="9" t="s">
        <v>190</v>
      </c>
      <c r="C93" s="314"/>
      <c r="D93" s="6"/>
      <c r="E93" s="314"/>
      <c r="F93" s="8"/>
      <c r="G93" s="7">
        <v>0</v>
      </c>
      <c r="H93" s="31">
        <v>0.76519296363727407</v>
      </c>
      <c r="I93" s="10">
        <v>2.9455433504455373E-2</v>
      </c>
      <c r="J93" s="31">
        <v>0.75830035128805617</v>
      </c>
      <c r="K93" s="10">
        <v>0.16369468991149475</v>
      </c>
      <c r="L93" s="91">
        <v>0.67429057259953162</v>
      </c>
    </row>
    <row r="94" spans="1:12">
      <c r="A94" s="47" t="s">
        <v>162</v>
      </c>
      <c r="B94" s="9" t="s">
        <v>190</v>
      </c>
      <c r="C94" s="314"/>
      <c r="D94" s="6"/>
      <c r="E94" s="314"/>
      <c r="F94" s="8"/>
      <c r="G94" s="7"/>
      <c r="H94" s="8"/>
      <c r="I94" s="10"/>
      <c r="J94" s="6"/>
      <c r="K94" s="7">
        <v>0</v>
      </c>
      <c r="L94" s="91">
        <v>0.67429057259953162</v>
      </c>
    </row>
    <row r="95" spans="1:12">
      <c r="A95" s="47" t="s">
        <v>163</v>
      </c>
      <c r="B95" s="9" t="s">
        <v>190</v>
      </c>
      <c r="C95" s="314"/>
      <c r="D95" s="6"/>
      <c r="E95" s="314"/>
      <c r="F95" s="8"/>
      <c r="G95" s="17"/>
      <c r="H95" s="8"/>
      <c r="I95" s="10"/>
      <c r="J95" s="6"/>
      <c r="K95" s="7">
        <v>0</v>
      </c>
      <c r="L95" s="91">
        <v>0.31197599531615927</v>
      </c>
    </row>
    <row r="96" spans="1:12">
      <c r="A96" s="47" t="s">
        <v>172</v>
      </c>
      <c r="B96" s="9" t="s">
        <v>190</v>
      </c>
      <c r="C96" s="314"/>
      <c r="D96" s="6"/>
      <c r="E96" s="314"/>
      <c r="F96" s="31"/>
      <c r="G96" s="17">
        <v>3.4577622827622503</v>
      </c>
      <c r="H96" s="31">
        <v>0.76519296363727407</v>
      </c>
      <c r="I96" s="10"/>
      <c r="J96" s="6"/>
      <c r="K96" s="17">
        <v>0.19592462790492457</v>
      </c>
      <c r="L96" s="91">
        <v>0.36231457728337235</v>
      </c>
    </row>
    <row r="97" spans="1:17">
      <c r="A97" s="47" t="s">
        <v>173</v>
      </c>
      <c r="B97" s="9" t="s">
        <v>190</v>
      </c>
      <c r="C97" s="315"/>
      <c r="D97" s="180"/>
      <c r="E97" s="315"/>
      <c r="F97" s="222"/>
      <c r="G97" s="103">
        <v>2.8797073454515161</v>
      </c>
      <c r="H97" s="191">
        <v>0.76519296363727407</v>
      </c>
      <c r="I97" s="14"/>
      <c r="J97" s="180"/>
      <c r="K97" s="14">
        <v>4.3682084872262057E-2</v>
      </c>
      <c r="L97" s="99">
        <v>0.36231457728337235</v>
      </c>
    </row>
    <row r="98" spans="1:17">
      <c r="A98" s="44"/>
      <c r="B98" s="44"/>
      <c r="C98" s="44"/>
      <c r="D98" s="44"/>
      <c r="E98" s="44"/>
      <c r="F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204</v>
      </c>
      <c r="B99" s="73"/>
      <c r="C99" s="75" t="s">
        <v>205</v>
      </c>
      <c r="D99" s="24"/>
      <c r="E99" s="24"/>
      <c r="F99" s="24"/>
      <c r="G99" s="100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69"/>
      <c r="D100" s="269"/>
      <c r="E100" s="269"/>
      <c r="F100" s="269"/>
      <c r="G100" s="279">
        <v>234</v>
      </c>
      <c r="H100" s="273"/>
      <c r="I100" s="273">
        <v>1480.3140464999101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70"/>
      <c r="D101" s="270"/>
      <c r="E101" s="270"/>
      <c r="F101" s="270"/>
      <c r="G101" s="266">
        <v>210</v>
      </c>
      <c r="H101" s="266"/>
      <c r="I101" s="266"/>
      <c r="J101" s="266"/>
      <c r="K101" s="266">
        <v>39.635820000000002</v>
      </c>
      <c r="L101" s="266"/>
    </row>
    <row r="102" spans="1:17">
      <c r="A102" s="264" t="s">
        <v>234</v>
      </c>
      <c r="B102" s="265" t="s">
        <v>190</v>
      </c>
      <c r="C102" s="270"/>
      <c r="D102" s="270"/>
      <c r="E102" s="270"/>
      <c r="F102" s="270"/>
      <c r="G102" s="275">
        <v>3.967E-3</v>
      </c>
      <c r="H102" s="267"/>
      <c r="I102" s="267"/>
      <c r="J102" s="267"/>
      <c r="K102" s="267">
        <v>7.4700000000000005E-4</v>
      </c>
      <c r="L102" s="267"/>
    </row>
    <row r="103" spans="1:17">
      <c r="A103" s="264" t="s">
        <v>235</v>
      </c>
      <c r="B103" s="265" t="s">
        <v>190</v>
      </c>
      <c r="C103" s="271"/>
      <c r="D103" s="271"/>
      <c r="E103" s="271"/>
      <c r="F103" s="271"/>
      <c r="G103" s="268">
        <v>3.9669999999999999E-4</v>
      </c>
      <c r="H103" s="268"/>
      <c r="I103" s="268"/>
      <c r="J103" s="268"/>
      <c r="K103" s="268">
        <v>7.47E-5</v>
      </c>
      <c r="L103" s="268"/>
    </row>
  </sheetData>
  <mergeCells count="4">
    <mergeCell ref="C11:C97"/>
    <mergeCell ref="E11:E97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3"/>
  <sheetViews>
    <sheetView zoomScale="70" zoomScaleNormal="70" workbookViewId="0">
      <pane xSplit="2" ySplit="9" topLeftCell="C28" activePane="bottomRight" state="frozen"/>
      <selection pane="topRight" activeCell="J20" sqref="J20"/>
      <selection pane="bottomLeft" activeCell="J20" sqref="J20"/>
      <selection pane="bottomRight" activeCell="E38" sqref="E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211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25">
        <v>0.51370009855481802</v>
      </c>
      <c r="D4" s="316" t="s">
        <v>176</v>
      </c>
      <c r="E4" s="317"/>
      <c r="F4" s="105">
        <v>372000</v>
      </c>
      <c r="G4" s="206"/>
      <c r="H4" s="207" t="s">
        <v>177</v>
      </c>
      <c r="I4" s="22">
        <v>3951000</v>
      </c>
      <c r="J4" s="20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6" t="s">
        <v>212</v>
      </c>
      <c r="E5" s="317"/>
      <c r="F5" s="23">
        <v>2275000</v>
      </c>
      <c r="G5" s="212"/>
      <c r="H5" s="213" t="s">
        <v>181</v>
      </c>
      <c r="I5" s="23">
        <v>0</v>
      </c>
      <c r="J5" s="209"/>
      <c r="K5" s="210" t="s">
        <v>178</v>
      </c>
      <c r="L5" s="214">
        <f>I5/(I4+I5)</f>
        <v>0</v>
      </c>
      <c r="Q5" s="44"/>
    </row>
    <row r="6" spans="1:17">
      <c r="A6" s="44"/>
      <c r="B6" s="44"/>
      <c r="C6" s="44"/>
      <c r="D6" s="44"/>
      <c r="E6" s="45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213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>
        <v>1.9471874489626284</v>
      </c>
      <c r="F9" s="221" t="s">
        <v>208</v>
      </c>
      <c r="G9" s="4">
        <f>(C4*L4)+(C5*L5)</f>
        <v>0.51370009855481802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>
      <c r="A11" s="46" t="s">
        <v>98</v>
      </c>
      <c r="B11" s="48" t="s">
        <v>189</v>
      </c>
      <c r="C11" s="314" t="s">
        <v>209</v>
      </c>
      <c r="D11" s="8"/>
      <c r="E11" s="7">
        <v>6750</v>
      </c>
      <c r="F11" s="31">
        <v>0.61936017207100602</v>
      </c>
      <c r="G11" s="7"/>
      <c r="H11" s="8"/>
      <c r="I11" s="7">
        <v>10304.130285402354</v>
      </c>
      <c r="J11" s="31">
        <v>0.99896209784864598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>
        <v>0</v>
      </c>
      <c r="F12" s="31">
        <v>0.61936017207100602</v>
      </c>
      <c r="G12" s="7"/>
      <c r="H12" s="8"/>
      <c r="I12" s="7">
        <v>0</v>
      </c>
      <c r="J12" s="31">
        <v>0.99896209784864598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>
        <v>674.2</v>
      </c>
      <c r="F13" s="31">
        <v>0.61936017207100602</v>
      </c>
      <c r="G13" s="7"/>
      <c r="H13" s="8"/>
      <c r="I13" s="7">
        <v>427.80179143817605</v>
      </c>
      <c r="J13" s="31">
        <v>0.99896209784864598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>
        <v>2350.9093248396916</v>
      </c>
      <c r="F16" s="31">
        <v>0.61936017207100602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>
        <v>63.35495215122662</v>
      </c>
      <c r="F17" s="31">
        <v>0.61936017207100602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>
        <v>22.056792666243215</v>
      </c>
      <c r="F18" s="31">
        <v>0.61936017207100602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31"/>
      <c r="E19" s="7">
        <v>10.367786218868476</v>
      </c>
      <c r="F19" s="31">
        <v>0.61936017207100602</v>
      </c>
      <c r="G19" s="17">
        <v>3.1290044656707656</v>
      </c>
      <c r="H19" s="31">
        <v>0.55046752045327274</v>
      </c>
      <c r="I19" s="7">
        <v>5.8440483946453314</v>
      </c>
      <c r="J19" s="31">
        <v>0.74329879455833969</v>
      </c>
      <c r="K19" s="17">
        <v>2.4044227706931944</v>
      </c>
      <c r="L19" s="91">
        <v>0.3133520532584616</v>
      </c>
    </row>
    <row r="20" spans="1:12">
      <c r="A20" s="47" t="s">
        <v>109</v>
      </c>
      <c r="B20" s="9" t="s">
        <v>191</v>
      </c>
      <c r="C20" s="314"/>
      <c r="D20" s="31"/>
      <c r="E20" s="7" t="s">
        <v>100</v>
      </c>
      <c r="F20" s="31"/>
      <c r="G20" s="7">
        <v>0</v>
      </c>
      <c r="H20" s="31">
        <v>0.733640579928732</v>
      </c>
      <c r="I20" s="7">
        <v>0</v>
      </c>
      <c r="J20" s="31">
        <v>0.74329879455833969</v>
      </c>
      <c r="K20" s="7">
        <v>0</v>
      </c>
      <c r="L20" s="91">
        <v>0.3532482011754447</v>
      </c>
    </row>
    <row r="21" spans="1:12">
      <c r="A21" s="47" t="s">
        <v>192</v>
      </c>
      <c r="B21" s="9" t="s">
        <v>190</v>
      </c>
      <c r="C21" s="314"/>
      <c r="D21" s="8"/>
      <c r="E21" s="7"/>
      <c r="F21" s="8"/>
      <c r="G21" s="7">
        <v>881.25160862203154</v>
      </c>
      <c r="H21" s="31">
        <v>0.64468066183669526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150.06585572510951</v>
      </c>
      <c r="H22" s="31">
        <v>0.64468066183669526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7">
        <v>1.0085112556317353</v>
      </c>
      <c r="H23" s="31">
        <v>0.79983561880993237</v>
      </c>
      <c r="I23" s="7">
        <v>8.6675201456243158</v>
      </c>
      <c r="J23" s="31">
        <v>0.57916750779549475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>
        <v>1.6867634794647757</v>
      </c>
      <c r="H24" s="31">
        <v>0.86761264994027598</v>
      </c>
      <c r="I24" s="7">
        <v>4.8910111800648064</v>
      </c>
      <c r="J24" s="31">
        <v>0.57916750779549475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1966.3483354298821</v>
      </c>
      <c r="J25" s="31">
        <v>0.74329879455833969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C4*1000</f>
        <v>513.70009855481806</v>
      </c>
      <c r="J26" s="31">
        <v>0.89609121084536048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5.9807861619403839</v>
      </c>
      <c r="J27" s="31">
        <v>0.61651542984054664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17.474928536636266</v>
      </c>
      <c r="J28" s="31">
        <v>0.74329879455833969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0.67808469826478912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10.327534540237876</v>
      </c>
      <c r="L30" s="91">
        <v>0.66287006905699364</v>
      </c>
    </row>
    <row r="31" spans="1:12" ht="1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0">
        <v>2.1128400562560771E-2</v>
      </c>
      <c r="L31" s="91">
        <v>0.62326430281447742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17">
        <v>0.28890917915815606</v>
      </c>
      <c r="L32" s="91">
        <v>0.57908333597064043</v>
      </c>
    </row>
    <row r="33" spans="1:12" ht="18.75" customHeight="1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6.4050408980230733E-2</v>
      </c>
      <c r="L33" s="91">
        <v>0.55064344733485193</v>
      </c>
    </row>
    <row r="34" spans="1:12" ht="18.75" customHeight="1">
      <c r="A34" s="47"/>
      <c r="B34" s="9"/>
      <c r="C34" s="314"/>
      <c r="D34" s="8"/>
      <c r="E34" s="7"/>
      <c r="F34" s="8"/>
      <c r="G34" s="10"/>
      <c r="H34" s="6"/>
      <c r="I34" s="10"/>
      <c r="J34" s="6"/>
      <c r="K34" s="10"/>
      <c r="L34" s="91"/>
    </row>
    <row r="35" spans="1:12">
      <c r="A35" s="34" t="s">
        <v>120</v>
      </c>
      <c r="B35" s="9"/>
      <c r="C35" s="314"/>
      <c r="D35" s="8"/>
      <c r="E35" s="186"/>
      <c r="F35" s="187"/>
      <c r="G35" s="186"/>
      <c r="H35" s="187"/>
      <c r="I35" s="186"/>
      <c r="J35" s="187"/>
      <c r="K35" s="227"/>
      <c r="L35" s="227"/>
    </row>
    <row r="36" spans="1:12" s="25" customFormat="1">
      <c r="A36" s="92" t="s">
        <v>121</v>
      </c>
      <c r="B36" s="93" t="s">
        <v>191</v>
      </c>
      <c r="C36" s="314"/>
      <c r="D36" s="37"/>
      <c r="E36" s="17">
        <v>1.2959117952517902</v>
      </c>
      <c r="F36" s="98">
        <v>0.61936017207100602</v>
      </c>
      <c r="G36" s="10">
        <v>3.1290044656707656</v>
      </c>
      <c r="H36" s="98">
        <v>0.55046752045327274</v>
      </c>
      <c r="I36" s="17">
        <v>2.2452013335182035</v>
      </c>
      <c r="J36" s="98">
        <v>0.74329879455833969</v>
      </c>
      <c r="K36" s="17">
        <v>0.57376400096516222</v>
      </c>
      <c r="L36" s="171">
        <v>0.3133520532584616</v>
      </c>
    </row>
    <row r="37" spans="1:12" s="25" customFormat="1">
      <c r="A37" s="92" t="s">
        <v>122</v>
      </c>
      <c r="B37" s="93" t="s">
        <v>191</v>
      </c>
      <c r="C37" s="314"/>
      <c r="D37" s="37"/>
      <c r="E37" s="17" t="s">
        <v>100</v>
      </c>
      <c r="F37" s="98"/>
      <c r="G37" s="7">
        <v>0</v>
      </c>
      <c r="H37" s="98">
        <v>0.733640579928732</v>
      </c>
      <c r="I37" s="7">
        <v>0</v>
      </c>
      <c r="J37" s="31">
        <v>0.74329879455833969</v>
      </c>
      <c r="K37" s="7">
        <v>0</v>
      </c>
      <c r="L37" s="171">
        <v>0.3532482011754447</v>
      </c>
    </row>
    <row r="38" spans="1:12">
      <c r="A38" s="47" t="s">
        <v>123</v>
      </c>
      <c r="B38" s="9" t="s">
        <v>210</v>
      </c>
      <c r="C38" s="314"/>
      <c r="D38" s="31"/>
      <c r="E38" s="286">
        <v>1.3342016749025001</v>
      </c>
      <c r="F38" s="98">
        <v>1</v>
      </c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17" t="s">
        <v>229</v>
      </c>
      <c r="F39" s="98">
        <v>0.6353940465516128</v>
      </c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31"/>
      <c r="E40" s="241" t="s">
        <v>228</v>
      </c>
      <c r="F40" s="98">
        <v>0.6353940465516128</v>
      </c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31"/>
      <c r="E41" s="13">
        <v>3.8364226126421631E-5</v>
      </c>
      <c r="F41" s="98">
        <v>0.6353940465516128</v>
      </c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6"/>
      <c r="E42" s="186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6"/>
      <c r="E43" s="186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1</v>
      </c>
      <c r="F44" s="98">
        <v>0.6768726008039222</v>
      </c>
      <c r="G44" s="7">
        <v>468.4792042676537</v>
      </c>
      <c r="H44" s="31">
        <v>0.64468066183669526</v>
      </c>
      <c r="I44" s="186"/>
      <c r="J44" s="187"/>
      <c r="K44" s="7">
        <v>77.038996589883155</v>
      </c>
      <c r="L44" s="171">
        <v>0.83953176886076197</v>
      </c>
    </row>
    <row r="45" spans="1:12">
      <c r="A45" s="47" t="s">
        <v>133</v>
      </c>
      <c r="B45" s="9" t="s">
        <v>201</v>
      </c>
      <c r="C45" s="314"/>
      <c r="D45" s="31"/>
      <c r="E45" s="7">
        <v>0</v>
      </c>
      <c r="F45" s="98">
        <v>0.6768726008039222</v>
      </c>
      <c r="G45" s="7">
        <v>32.322017122106338</v>
      </c>
      <c r="H45" s="31">
        <v>0.64468066183669526</v>
      </c>
      <c r="I45" s="186"/>
      <c r="J45" s="187"/>
      <c r="K45" s="7">
        <v>14.036019152752651</v>
      </c>
      <c r="L45" s="171">
        <v>0.83953176886076197</v>
      </c>
    </row>
    <row r="46" spans="1:12">
      <c r="A46" s="47" t="s">
        <v>134</v>
      </c>
      <c r="B46" s="9" t="s">
        <v>201</v>
      </c>
      <c r="C46" s="314"/>
      <c r="D46" s="31"/>
      <c r="E46" s="7">
        <v>4102.020001163849</v>
      </c>
      <c r="F46" s="98">
        <v>0.6768726008039222</v>
      </c>
      <c r="G46" s="7">
        <v>2482.3143446086374</v>
      </c>
      <c r="H46" s="31">
        <v>0.64468066183669526</v>
      </c>
      <c r="I46" s="186"/>
      <c r="J46" s="187"/>
      <c r="K46" s="7">
        <v>882.80044253707501</v>
      </c>
      <c r="L46" s="171">
        <v>0.83953176886076197</v>
      </c>
    </row>
    <row r="47" spans="1:12">
      <c r="A47" s="47" t="s">
        <v>135</v>
      </c>
      <c r="B47" s="9" t="s">
        <v>201</v>
      </c>
      <c r="C47" s="314"/>
      <c r="D47" s="31"/>
      <c r="E47" s="7">
        <v>0</v>
      </c>
      <c r="F47" s="98">
        <v>0.6768726008039222</v>
      </c>
      <c r="G47" s="7">
        <v>0</v>
      </c>
      <c r="H47" s="31">
        <v>0.64468066183669526</v>
      </c>
      <c r="I47" s="186"/>
      <c r="J47" s="187"/>
      <c r="K47" s="7">
        <v>0</v>
      </c>
      <c r="L47" s="171">
        <v>0.83953176886076197</v>
      </c>
    </row>
    <row r="48" spans="1:12">
      <c r="A48" s="47" t="s">
        <v>136</v>
      </c>
      <c r="B48" s="9" t="s">
        <v>201</v>
      </c>
      <c r="C48" s="314"/>
      <c r="D48" s="31"/>
      <c r="E48" s="7">
        <v>2238.037309554411</v>
      </c>
      <c r="F48" s="98">
        <v>0.6768726008039222</v>
      </c>
      <c r="G48" s="7">
        <v>1158.8991021883849</v>
      </c>
      <c r="H48" s="31">
        <v>0.64468066183669526</v>
      </c>
      <c r="I48" s="7">
        <v>53846.229900886479</v>
      </c>
      <c r="J48" s="98">
        <v>1</v>
      </c>
      <c r="K48" s="7">
        <v>574.83923345036214</v>
      </c>
      <c r="L48" s="171">
        <v>0.83953176886076197</v>
      </c>
    </row>
    <row r="49" spans="1:12">
      <c r="A49" s="47" t="s">
        <v>137</v>
      </c>
      <c r="B49" s="9" t="s">
        <v>201</v>
      </c>
      <c r="C49" s="314"/>
      <c r="D49" s="6"/>
      <c r="E49" s="7">
        <v>1004.3586868046093</v>
      </c>
      <c r="F49" s="98">
        <v>0.6768726008039222</v>
      </c>
      <c r="G49" s="7">
        <v>9.7583402520759943</v>
      </c>
      <c r="H49" s="31">
        <v>0.64468066183669526</v>
      </c>
      <c r="I49" s="186"/>
      <c r="J49" s="187"/>
      <c r="K49" s="7">
        <v>2.2954426253552569</v>
      </c>
      <c r="L49" s="171">
        <v>0.83953176886076197</v>
      </c>
    </row>
    <row r="50" spans="1:12">
      <c r="A50" s="47"/>
      <c r="B50" s="9"/>
      <c r="C50" s="314"/>
      <c r="D50" s="6"/>
      <c r="E50" s="10"/>
      <c r="F50" s="6"/>
      <c r="G50" s="10"/>
      <c r="H50" s="6"/>
      <c r="I50" s="10"/>
      <c r="J50" s="6"/>
      <c r="K50" s="10"/>
      <c r="L50" s="10"/>
    </row>
    <row r="51" spans="1:12">
      <c r="A51" s="45" t="s">
        <v>138</v>
      </c>
      <c r="B51" s="44"/>
      <c r="C51" s="314"/>
      <c r="D51" s="6"/>
      <c r="E51" s="10"/>
      <c r="F51" s="6"/>
      <c r="G51" s="10"/>
      <c r="H51" s="6"/>
      <c r="I51" s="10"/>
      <c r="J51" s="6"/>
      <c r="K51" s="10"/>
      <c r="L51" s="10"/>
    </row>
    <row r="52" spans="1:12">
      <c r="A52" s="47" t="s">
        <v>139</v>
      </c>
      <c r="B52" s="9" t="s">
        <v>190</v>
      </c>
      <c r="C52" s="314"/>
      <c r="D52" s="31"/>
      <c r="E52" s="10">
        <v>4.8095181948742842E-2</v>
      </c>
      <c r="F52" s="31">
        <v>0.61936017207100602</v>
      </c>
      <c r="G52" s="17">
        <v>0.14455729689689495</v>
      </c>
      <c r="H52" s="31">
        <v>1</v>
      </c>
      <c r="I52" s="7">
        <v>1.9527617211511898</v>
      </c>
      <c r="J52" s="31">
        <v>0.74329879455833969</v>
      </c>
      <c r="K52" s="10">
        <v>4.5621615901727509E-2</v>
      </c>
      <c r="L52" s="91">
        <v>0.67808469826478912</v>
      </c>
    </row>
    <row r="53" spans="1:12">
      <c r="A53" s="47" t="s">
        <v>140</v>
      </c>
      <c r="B53" s="9" t="s">
        <v>190</v>
      </c>
      <c r="C53" s="314"/>
      <c r="D53" s="6"/>
      <c r="E53" s="11">
        <v>5.0011107108425754E-4</v>
      </c>
      <c r="F53" s="31">
        <v>0.61936017207100602</v>
      </c>
      <c r="G53" s="17">
        <v>1.4025222195685434</v>
      </c>
      <c r="H53" s="31">
        <v>1</v>
      </c>
      <c r="I53" s="17">
        <v>16.050508103390857</v>
      </c>
      <c r="J53" s="31">
        <v>0.74329879455833969</v>
      </c>
      <c r="K53" s="11">
        <v>6.8537960071615592E-4</v>
      </c>
      <c r="L53" s="91">
        <v>0.67808469826478912</v>
      </c>
    </row>
    <row r="54" spans="1:12" ht="17">
      <c r="A54" s="47" t="s">
        <v>141</v>
      </c>
      <c r="B54" s="9" t="s">
        <v>190</v>
      </c>
      <c r="C54" s="314"/>
      <c r="D54" s="6"/>
      <c r="E54" s="17">
        <v>0.15518204379365971</v>
      </c>
      <c r="F54" s="31">
        <v>0.61936017207100602</v>
      </c>
      <c r="G54" s="17">
        <v>0.12203413178632402</v>
      </c>
      <c r="H54" s="31">
        <v>1</v>
      </c>
      <c r="I54" s="11">
        <v>5.2557169575141744E-3</v>
      </c>
      <c r="J54" s="31">
        <v>0.17186788154897495</v>
      </c>
      <c r="K54" s="10">
        <v>5.3754045769657768E-2</v>
      </c>
      <c r="L54" s="91">
        <v>0.67808469826478912</v>
      </c>
    </row>
    <row r="55" spans="1:12">
      <c r="A55" s="47" t="s">
        <v>142</v>
      </c>
      <c r="B55" s="9" t="s">
        <v>202</v>
      </c>
      <c r="C55" s="314"/>
      <c r="D55" s="6"/>
      <c r="E55" s="7">
        <v>0</v>
      </c>
      <c r="F55" s="31">
        <v>0.61936017207100602</v>
      </c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7">
        <v>0</v>
      </c>
      <c r="F56" s="31">
        <v>0.61936017207100602</v>
      </c>
      <c r="G56" s="7">
        <v>0</v>
      </c>
      <c r="H56" s="31">
        <v>0.83652508816952509</v>
      </c>
      <c r="I56" s="10">
        <v>4.9146490929926095E-2</v>
      </c>
      <c r="J56" s="31">
        <v>0.65756234454568463</v>
      </c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2">
        <v>3.7449848669071536E-4</v>
      </c>
      <c r="H57" s="31">
        <v>0.90835430958775776</v>
      </c>
      <c r="I57" s="17">
        <v>0.40504066490565721</v>
      </c>
      <c r="J57" s="31">
        <v>0.74329879455833969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0">
        <v>8.538552831163896E-3</v>
      </c>
      <c r="H58" s="31">
        <v>1</v>
      </c>
      <c r="I58" s="17">
        <v>0.34153468220727584</v>
      </c>
      <c r="J58" s="31">
        <v>0.74329879455833969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1">
        <v>2.8868440190497214E-3</v>
      </c>
      <c r="H59" s="31">
        <v>1</v>
      </c>
      <c r="I59" s="11">
        <v>5.1002653456514438E-3</v>
      </c>
      <c r="J59" s="31">
        <v>0.74329879455833969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1">
        <v>3.3321087551770098E-3</v>
      </c>
      <c r="H60" s="31">
        <v>0.88000999138504366</v>
      </c>
      <c r="I60" s="11">
        <v>7.1272828933618363E-4</v>
      </c>
      <c r="J60" s="31">
        <v>0.65756234454568463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5.0155917828038583E-2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0">
        <v>8.8250341854099277E-3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1">
        <v>3.6602865476211263E-2</v>
      </c>
      <c r="L63" s="91">
        <v>0.51899434139311107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13">
        <v>9.0468098744700952E-7</v>
      </c>
      <c r="L64" s="91">
        <v>0.3532482011754447</v>
      </c>
    </row>
    <row r="65" spans="1:12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314"/>
      <c r="D66" s="6"/>
      <c r="E66" s="7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314"/>
      <c r="D67" s="33"/>
      <c r="E67" s="7">
        <v>10.630884988120028</v>
      </c>
      <c r="F67" s="31">
        <v>0.61936017207100602</v>
      </c>
      <c r="G67" s="7">
        <v>0</v>
      </c>
      <c r="H67" s="31">
        <v>0.55046752045327274</v>
      </c>
      <c r="I67" s="17">
        <v>5.1389913093080537</v>
      </c>
      <c r="J67" s="31">
        <v>0.74329879455833969</v>
      </c>
      <c r="K67" s="7">
        <v>3.8846632005915804</v>
      </c>
      <c r="L67" s="91">
        <v>0.3133520532584616</v>
      </c>
    </row>
    <row r="68" spans="1:12">
      <c r="A68" s="47" t="s">
        <v>109</v>
      </c>
      <c r="B68" s="9" t="s">
        <v>191</v>
      </c>
      <c r="C68" s="314"/>
      <c r="D68" s="33"/>
      <c r="E68" s="7" t="s">
        <v>100</v>
      </c>
      <c r="F68" s="98"/>
      <c r="G68" s="7">
        <v>0</v>
      </c>
      <c r="H68" s="31">
        <v>0.733640579928732</v>
      </c>
      <c r="I68" s="7">
        <v>0</v>
      </c>
      <c r="J68" s="31">
        <v>0.74329879455833969</v>
      </c>
      <c r="K68" s="7">
        <v>0</v>
      </c>
      <c r="L68" s="91">
        <v>0.3532482011754447</v>
      </c>
    </row>
    <row r="69" spans="1:12">
      <c r="A69" s="47" t="s">
        <v>153</v>
      </c>
      <c r="B69" s="9" t="s">
        <v>190</v>
      </c>
      <c r="C69" s="314"/>
      <c r="D69" s="6"/>
      <c r="E69" s="10">
        <v>6.5264586805965211E-2</v>
      </c>
      <c r="F69" s="98">
        <v>0.61936017207100602</v>
      </c>
      <c r="G69" s="12">
        <v>3.6485912770592709E-4</v>
      </c>
      <c r="H69" s="31">
        <v>0.54015472623235838</v>
      </c>
      <c r="I69" s="10">
        <v>3.225935090046634E-2</v>
      </c>
      <c r="J69" s="31">
        <v>0.7059508725132877</v>
      </c>
      <c r="K69" s="11">
        <v>1.0972013140389566E-3</v>
      </c>
      <c r="L69" s="91">
        <v>0.29842780572513289</v>
      </c>
    </row>
    <row r="70" spans="1:12">
      <c r="A70" s="47" t="s">
        <v>154</v>
      </c>
      <c r="B70" s="9" t="s">
        <v>190</v>
      </c>
      <c r="C70" s="314"/>
      <c r="D70" s="6"/>
      <c r="E70" s="17">
        <v>11.412344492085461</v>
      </c>
      <c r="F70" s="98">
        <v>0.61936017207100602</v>
      </c>
      <c r="G70" s="7">
        <v>0</v>
      </c>
      <c r="H70" s="31">
        <v>0.54015472623235838</v>
      </c>
      <c r="I70" s="11">
        <v>1.0712118057385847E-3</v>
      </c>
      <c r="J70" s="31">
        <v>0.7059508725132877</v>
      </c>
      <c r="K70" s="11">
        <v>9.4037467288565497E-4</v>
      </c>
      <c r="L70" s="91">
        <v>0.29842780572513289</v>
      </c>
    </row>
    <row r="71" spans="1:12">
      <c r="A71" s="47" t="s">
        <v>142</v>
      </c>
      <c r="B71" s="9" t="s">
        <v>202</v>
      </c>
      <c r="C71" s="314"/>
      <c r="D71" s="6"/>
      <c r="E71" s="11">
        <v>1.6841201131630734E-3</v>
      </c>
      <c r="F71" s="98">
        <v>0.61936017207100602</v>
      </c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314"/>
      <c r="D72" s="6"/>
      <c r="E72" s="7"/>
      <c r="F72" s="8"/>
      <c r="G72" s="68">
        <v>0</v>
      </c>
      <c r="H72" s="31">
        <v>0.54015472623235838</v>
      </c>
      <c r="I72" s="10">
        <v>2.9511117703292813E-2</v>
      </c>
      <c r="J72" s="31">
        <v>0.7059508725132877</v>
      </c>
      <c r="K72" s="10"/>
      <c r="L72" s="10"/>
    </row>
    <row r="73" spans="1:12">
      <c r="A73" s="47" t="s">
        <v>156</v>
      </c>
      <c r="B73" s="9" t="s">
        <v>202</v>
      </c>
      <c r="C73" s="314"/>
      <c r="D73" s="6"/>
      <c r="E73" s="7"/>
      <c r="F73" s="8"/>
      <c r="G73" s="231">
        <v>7.9595024061870218E-4</v>
      </c>
      <c r="H73" s="31">
        <v>0.54015472623235838</v>
      </c>
      <c r="I73" s="12">
        <v>1.1028204787802659E-4</v>
      </c>
      <c r="J73" s="31">
        <v>0.7059508725132877</v>
      </c>
      <c r="K73" s="10"/>
      <c r="L73" s="10"/>
    </row>
    <row r="74" spans="1:12">
      <c r="A74" s="47"/>
      <c r="B74" s="9"/>
      <c r="C74" s="314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314"/>
      <c r="D76" s="6"/>
      <c r="E76" s="7">
        <v>0</v>
      </c>
      <c r="F76" s="98">
        <v>1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3.5343082901282767</v>
      </c>
      <c r="J77" s="31">
        <v>0.54131852062768926</v>
      </c>
      <c r="K77" s="10"/>
      <c r="L77" s="10"/>
    </row>
    <row r="78" spans="1:12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3.8531862176143843</v>
      </c>
      <c r="J78" s="31">
        <v>0.54131852062768926</v>
      </c>
      <c r="K78" s="10"/>
      <c r="L78" s="10"/>
    </row>
    <row r="79" spans="1:12">
      <c r="A79" s="47" t="s">
        <v>161</v>
      </c>
      <c r="B79" s="9" t="s">
        <v>190</v>
      </c>
      <c r="C79" s="314"/>
      <c r="D79" s="6"/>
      <c r="E79" s="7"/>
      <c r="F79" s="8"/>
      <c r="G79" s="17">
        <v>1.190519059226103</v>
      </c>
      <c r="H79" s="31">
        <v>1</v>
      </c>
      <c r="I79" s="17">
        <v>0.19477157252168761</v>
      </c>
      <c r="J79" s="31">
        <v>0.74329879455833969</v>
      </c>
      <c r="K79" s="10">
        <v>0.16846402331650917</v>
      </c>
      <c r="L79" s="91">
        <v>0.62326430281447742</v>
      </c>
    </row>
    <row r="80" spans="1:12">
      <c r="A80" s="47" t="s">
        <v>112</v>
      </c>
      <c r="B80" s="9" t="s">
        <v>190</v>
      </c>
      <c r="C80" s="314"/>
      <c r="D80" s="6"/>
      <c r="E80" s="7"/>
      <c r="F80" s="8"/>
      <c r="G80" s="17">
        <v>0.74079075586276721</v>
      </c>
      <c r="H80" s="31">
        <v>0.98852868216286893</v>
      </c>
      <c r="I80" s="17">
        <v>5.4335488848068358</v>
      </c>
      <c r="J80" s="31">
        <v>0.69491026659073651</v>
      </c>
      <c r="K80" s="10"/>
      <c r="L80" s="10"/>
    </row>
    <row r="81" spans="1:12">
      <c r="A81" s="47" t="s">
        <v>162</v>
      </c>
      <c r="B81" s="9" t="s">
        <v>190</v>
      </c>
      <c r="C81" s="314"/>
      <c r="D81" s="6"/>
      <c r="E81" s="7"/>
      <c r="F81" s="8"/>
      <c r="G81" s="7"/>
      <c r="H81" s="8"/>
      <c r="I81" s="10"/>
      <c r="J81" s="6"/>
      <c r="K81" s="10">
        <v>17.436771600846551</v>
      </c>
      <c r="L81" s="91">
        <v>0.67808469826478912</v>
      </c>
    </row>
    <row r="82" spans="1:12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7">
        <v>0</v>
      </c>
      <c r="L82" s="91">
        <v>0.55064344733485193</v>
      </c>
    </row>
    <row r="83" spans="1:12">
      <c r="A83" s="47" t="s">
        <v>137</v>
      </c>
      <c r="B83" s="9" t="s">
        <v>190</v>
      </c>
      <c r="C83" s="314"/>
      <c r="D83" s="6"/>
      <c r="E83" s="7" t="s">
        <v>100</v>
      </c>
      <c r="F83" s="98"/>
      <c r="G83" s="7">
        <v>2.002060397847623</v>
      </c>
      <c r="H83" s="31">
        <v>0.99884147638378318</v>
      </c>
      <c r="I83" s="10"/>
      <c r="J83" s="6"/>
      <c r="K83" s="10"/>
      <c r="L83" s="10"/>
    </row>
    <row r="84" spans="1:12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314"/>
      <c r="D85" s="6"/>
      <c r="E85" s="7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314"/>
      <c r="D86" s="31"/>
      <c r="E86" s="7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314"/>
      <c r="D87" s="31"/>
      <c r="E87" s="7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314"/>
      <c r="D88" s="6"/>
      <c r="E88" s="7">
        <v>784.46596680624702</v>
      </c>
      <c r="F88" s="98">
        <v>1</v>
      </c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17">
        <v>10.348677085956526</v>
      </c>
      <c r="J89" s="31">
        <v>0.74329879455833969</v>
      </c>
      <c r="K89" s="10"/>
      <c r="L89" s="10"/>
    </row>
    <row r="90" spans="1:12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17">
        <v>4.1844840880067684</v>
      </c>
      <c r="J90" s="31">
        <v>0.650626459453303</v>
      </c>
      <c r="K90" s="10"/>
      <c r="L90" s="10"/>
    </row>
    <row r="91" spans="1:12">
      <c r="A91" s="47" t="s">
        <v>169</v>
      </c>
      <c r="B91" s="9" t="s">
        <v>190</v>
      </c>
      <c r="C91" s="314"/>
      <c r="D91" s="6"/>
      <c r="E91" s="7"/>
      <c r="F91" s="8"/>
      <c r="G91" s="7">
        <v>4.6920567776303779</v>
      </c>
      <c r="H91" s="31">
        <v>1</v>
      </c>
      <c r="I91" s="17">
        <v>2.4916827902376615</v>
      </c>
      <c r="J91" s="31">
        <v>0.69901498742090606</v>
      </c>
      <c r="K91" s="10"/>
      <c r="L91" s="10"/>
    </row>
    <row r="92" spans="1:12">
      <c r="A92" s="47" t="s">
        <v>170</v>
      </c>
      <c r="B92" s="9" t="s">
        <v>190</v>
      </c>
      <c r="C92" s="314"/>
      <c r="D92" s="6"/>
      <c r="E92" s="7"/>
      <c r="F92" s="8"/>
      <c r="G92" s="7">
        <v>0</v>
      </c>
      <c r="H92" s="31">
        <v>1</v>
      </c>
      <c r="I92" s="17">
        <v>5.1112078011606785</v>
      </c>
      <c r="J92" s="31">
        <v>0.74329879455833969</v>
      </c>
      <c r="K92" s="10"/>
      <c r="L92" s="10"/>
    </row>
    <row r="93" spans="1:12">
      <c r="A93" s="47" t="s">
        <v>171</v>
      </c>
      <c r="B93" s="9" t="s">
        <v>190</v>
      </c>
      <c r="C93" s="314"/>
      <c r="D93" s="6"/>
      <c r="E93" s="7"/>
      <c r="F93" s="8"/>
      <c r="G93" s="7">
        <v>1.1945515563875042</v>
      </c>
      <c r="H93" s="31">
        <v>1</v>
      </c>
      <c r="I93" s="17">
        <v>0.59473091057806704</v>
      </c>
      <c r="J93" s="31">
        <v>0.74329879455833969</v>
      </c>
      <c r="K93" s="17">
        <v>8.3356419021474407E-2</v>
      </c>
      <c r="L93" s="91">
        <v>0.62326430281447742</v>
      </c>
    </row>
    <row r="94" spans="1:12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7">
        <v>0</v>
      </c>
      <c r="L94" s="91">
        <v>0.62326430281447742</v>
      </c>
    </row>
    <row r="95" spans="1:12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10">
        <v>2.0733162857145042E-2</v>
      </c>
      <c r="L95" s="91">
        <v>0.55064344733485193</v>
      </c>
    </row>
    <row r="96" spans="1:12">
      <c r="A96" s="47" t="s">
        <v>172</v>
      </c>
      <c r="B96" s="9" t="s">
        <v>190</v>
      </c>
      <c r="C96" s="314"/>
      <c r="D96" s="6"/>
      <c r="E96" s="17">
        <v>0.12031168146814723</v>
      </c>
      <c r="F96" s="98">
        <v>0.61936017207100602</v>
      </c>
      <c r="G96" s="17">
        <v>0.61212597827085946</v>
      </c>
      <c r="H96" s="31">
        <v>0.8903227856059579</v>
      </c>
      <c r="I96" s="10"/>
      <c r="J96" s="6"/>
      <c r="K96" s="17">
        <v>2.3648444043246535</v>
      </c>
      <c r="L96" s="91">
        <v>0.58336815489749427</v>
      </c>
    </row>
    <row r="97" spans="1:17">
      <c r="A97" s="47" t="s">
        <v>173</v>
      </c>
      <c r="B97" s="9" t="s">
        <v>190</v>
      </c>
      <c r="C97" s="315"/>
      <c r="D97" s="180"/>
      <c r="E97" s="230">
        <v>0.12031168146814723</v>
      </c>
      <c r="F97" s="190">
        <v>0.61936017207100602</v>
      </c>
      <c r="G97" s="103">
        <v>0.12232999785794953</v>
      </c>
      <c r="H97" s="191">
        <v>0.70448830267812002</v>
      </c>
      <c r="I97" s="14"/>
      <c r="J97" s="180"/>
      <c r="K97" s="103">
        <v>2.3494726985711996</v>
      </c>
      <c r="L97" s="99">
        <v>0.58336815489749427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69"/>
      <c r="D100" s="269"/>
      <c r="E100" s="273"/>
      <c r="F100" s="269"/>
      <c r="G100" s="279">
        <v>234</v>
      </c>
      <c r="H100" s="273"/>
      <c r="I100" s="273">
        <v>1511.8702408235699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70"/>
      <c r="D101" s="270"/>
      <c r="E101" s="266">
        <v>218</v>
      </c>
      <c r="F101" s="270"/>
      <c r="G101" s="266">
        <v>169</v>
      </c>
      <c r="H101" s="266"/>
      <c r="I101" s="266"/>
      <c r="J101" s="266"/>
      <c r="K101" s="266">
        <v>54</v>
      </c>
      <c r="L101" s="266"/>
    </row>
    <row r="102" spans="1:17">
      <c r="A102" s="264" t="s">
        <v>234</v>
      </c>
      <c r="B102" s="265" t="s">
        <v>190</v>
      </c>
      <c r="C102" s="270"/>
      <c r="D102" s="270"/>
      <c r="E102" s="275">
        <v>4.1019999999999997E-3</v>
      </c>
      <c r="F102" s="270"/>
      <c r="G102" s="275">
        <v>4.0000000000000001E-3</v>
      </c>
      <c r="H102" s="267"/>
      <c r="I102" s="267"/>
      <c r="J102" s="267"/>
      <c r="K102" s="267">
        <v>1.1999999999999999E-3</v>
      </c>
      <c r="L102" s="267"/>
    </row>
    <row r="103" spans="1:17">
      <c r="A103" s="264" t="s">
        <v>235</v>
      </c>
      <c r="B103" s="265" t="s">
        <v>190</v>
      </c>
      <c r="C103" s="271"/>
      <c r="D103" s="271"/>
      <c r="E103" s="268">
        <v>4.102E-4</v>
      </c>
      <c r="F103" s="271"/>
      <c r="G103" s="268">
        <v>5.0000000000000001E-4</v>
      </c>
      <c r="H103" s="268"/>
      <c r="I103" s="268"/>
      <c r="J103" s="268"/>
      <c r="K103" s="268">
        <v>1E-4</v>
      </c>
      <c r="L103" s="268"/>
    </row>
  </sheetData>
  <mergeCells count="3">
    <mergeCell ref="C11:C97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3"/>
  <sheetViews>
    <sheetView zoomScale="70" zoomScaleNormal="70" workbookViewId="0">
      <pane xSplit="2" ySplit="9" topLeftCell="C19" activePane="bottomRight" state="frozen"/>
      <selection pane="topRight" activeCell="J20" sqref="J20"/>
      <selection pane="bottomLeft" activeCell="J20" sqref="J20"/>
      <selection pane="bottomRight" activeCell="B38" sqref="B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215</v>
      </c>
      <c r="I1" s="169"/>
    </row>
    <row r="2" spans="1:17">
      <c r="A2" s="16"/>
      <c r="I2" s="169"/>
    </row>
    <row r="3" spans="1:17">
      <c r="A3" s="88" t="s">
        <v>174</v>
      </c>
    </row>
    <row r="4" spans="1:17">
      <c r="A4" s="203"/>
      <c r="B4" s="204" t="s">
        <v>175</v>
      </c>
      <c r="C4" s="225">
        <v>0.52292045272828902</v>
      </c>
      <c r="D4" s="316" t="s">
        <v>176</v>
      </c>
      <c r="E4" s="317"/>
      <c r="F4" s="105" t="s">
        <v>216</v>
      </c>
      <c r="G4" s="206"/>
      <c r="H4" s="207" t="s">
        <v>177</v>
      </c>
      <c r="I4" s="22">
        <v>2851000</v>
      </c>
      <c r="J4" s="223"/>
      <c r="K4" s="204" t="s">
        <v>178</v>
      </c>
      <c r="L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6" t="s">
        <v>217</v>
      </c>
      <c r="E5" s="317"/>
      <c r="F5" s="232">
        <v>1392000</v>
      </c>
      <c r="G5" s="212"/>
      <c r="H5" s="213" t="s">
        <v>181</v>
      </c>
      <c r="I5" s="23">
        <v>0</v>
      </c>
      <c r="J5" s="224"/>
      <c r="K5" s="210" t="s">
        <v>178</v>
      </c>
      <c r="L5" s="214">
        <f>I5/(I4+I5)</f>
        <v>0</v>
      </c>
      <c r="Q5" s="44"/>
    </row>
    <row r="6" spans="1:17">
      <c r="A6" s="44"/>
      <c r="B6" s="44"/>
      <c r="C6" s="44"/>
      <c r="D6" s="44"/>
      <c r="E6" s="45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48">
      <c r="A7" s="44"/>
      <c r="B7" s="41"/>
      <c r="C7" s="15" t="s">
        <v>44</v>
      </c>
      <c r="D7" s="215"/>
      <c r="E7" s="15" t="s">
        <v>218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>
        <v>1.9471874489626284</v>
      </c>
      <c r="F9" s="221" t="s">
        <v>208</v>
      </c>
      <c r="G9" s="4">
        <f>(C4*L4)+(C5*L5)</f>
        <v>0.52292045272828902</v>
      </c>
      <c r="H9" s="221" t="s">
        <v>208</v>
      </c>
      <c r="I9" s="5">
        <v>1</v>
      </c>
      <c r="J9" s="221" t="s">
        <v>208</v>
      </c>
      <c r="K9" s="5">
        <v>1</v>
      </c>
      <c r="L9" s="18" t="s">
        <v>208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>
      <c r="A11" s="46" t="s">
        <v>98</v>
      </c>
      <c r="B11" s="48" t="s">
        <v>189</v>
      </c>
      <c r="C11" s="314" t="s">
        <v>209</v>
      </c>
      <c r="D11" s="8"/>
      <c r="E11" s="7">
        <v>6750</v>
      </c>
      <c r="F11" s="31">
        <v>0.61936017207100602</v>
      </c>
      <c r="G11" s="7"/>
      <c r="H11" s="8"/>
      <c r="I11" s="7">
        <v>8375.4649466616593</v>
      </c>
      <c r="J11" s="31">
        <v>1</v>
      </c>
      <c r="K11" s="7"/>
      <c r="L11" s="7"/>
    </row>
    <row r="12" spans="1:17">
      <c r="A12" s="46" t="s">
        <v>101</v>
      </c>
      <c r="B12" s="48" t="s">
        <v>189</v>
      </c>
      <c r="C12" s="314"/>
      <c r="D12" s="8"/>
      <c r="E12" s="7">
        <v>0</v>
      </c>
      <c r="F12" s="31">
        <v>0.61936017207100602</v>
      </c>
      <c r="G12" s="7"/>
      <c r="H12" s="8"/>
      <c r="I12" s="7">
        <v>0</v>
      </c>
      <c r="J12" s="31">
        <v>1</v>
      </c>
      <c r="K12" s="7"/>
      <c r="L12" s="7"/>
    </row>
    <row r="13" spans="1:17">
      <c r="A13" s="46" t="s">
        <v>102</v>
      </c>
      <c r="B13" s="48" t="s">
        <v>189</v>
      </c>
      <c r="C13" s="314"/>
      <c r="D13" s="8"/>
      <c r="E13" s="7">
        <v>674.2</v>
      </c>
      <c r="F13" s="31">
        <v>0.61936017207100602</v>
      </c>
      <c r="G13" s="7"/>
      <c r="H13" s="8"/>
      <c r="I13" s="7">
        <v>189.57593199212599</v>
      </c>
      <c r="J13" s="31">
        <v>1</v>
      </c>
      <c r="K13" s="7"/>
      <c r="L13" s="7"/>
    </row>
    <row r="14" spans="1:17">
      <c r="A14" s="90"/>
      <c r="B14" s="48"/>
      <c r="C14" s="314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314"/>
      <c r="D16" s="6"/>
      <c r="E16" s="7">
        <v>2350.9093248396916</v>
      </c>
      <c r="F16" s="31">
        <v>0.61936017207100602</v>
      </c>
      <c r="G16" s="10"/>
      <c r="H16" s="6"/>
      <c r="I16" s="10"/>
      <c r="J16" s="6"/>
      <c r="K16" s="10"/>
      <c r="L16" s="10"/>
    </row>
    <row r="17" spans="1:12">
      <c r="A17" s="47" t="s">
        <v>105</v>
      </c>
      <c r="B17" s="9" t="s">
        <v>190</v>
      </c>
      <c r="C17" s="314"/>
      <c r="D17" s="6"/>
      <c r="E17" s="7">
        <v>63.35495215122662</v>
      </c>
      <c r="F17" s="31">
        <v>0.61936017207100602</v>
      </c>
      <c r="G17" s="10"/>
      <c r="H17" s="6"/>
      <c r="I17" s="10"/>
      <c r="J17" s="6"/>
      <c r="K17" s="10"/>
      <c r="L17" s="10"/>
    </row>
    <row r="18" spans="1:12">
      <c r="A18" s="47" t="s">
        <v>106</v>
      </c>
      <c r="B18" s="9" t="s">
        <v>190</v>
      </c>
      <c r="C18" s="314"/>
      <c r="D18" s="6"/>
      <c r="E18" s="7">
        <v>22.056792666243215</v>
      </c>
      <c r="F18" s="31">
        <v>0.61936017207100602</v>
      </c>
      <c r="G18" s="10"/>
      <c r="H18" s="6"/>
      <c r="I18" s="10"/>
      <c r="J18" s="6"/>
      <c r="K18" s="10"/>
      <c r="L18" s="10"/>
    </row>
    <row r="19" spans="1:12">
      <c r="A19" s="47" t="s">
        <v>107</v>
      </c>
      <c r="B19" s="9" t="s">
        <v>191</v>
      </c>
      <c r="C19" s="314"/>
      <c r="D19" s="31"/>
      <c r="E19" s="7">
        <v>10.367786218868476</v>
      </c>
      <c r="F19" s="31">
        <v>0.61936017207100602</v>
      </c>
      <c r="G19" s="7" t="s">
        <v>100</v>
      </c>
      <c r="H19" s="31"/>
      <c r="I19" s="7">
        <v>5.4909537544357701</v>
      </c>
      <c r="J19" s="31">
        <v>0.8651595092949842</v>
      </c>
      <c r="K19" s="7" t="s">
        <v>100</v>
      </c>
      <c r="L19" s="91"/>
    </row>
    <row r="20" spans="1:12">
      <c r="A20" s="47" t="s">
        <v>109</v>
      </c>
      <c r="B20" s="9" t="s">
        <v>191</v>
      </c>
      <c r="C20" s="314"/>
      <c r="D20" s="31"/>
      <c r="E20" s="7" t="s">
        <v>100</v>
      </c>
      <c r="F20" s="31"/>
      <c r="G20" s="7">
        <v>0</v>
      </c>
      <c r="H20" s="31">
        <v>0.63372927315632377</v>
      </c>
      <c r="I20" s="7">
        <v>0</v>
      </c>
      <c r="J20" s="31">
        <v>0.8651595092949842</v>
      </c>
      <c r="K20" s="7">
        <v>0</v>
      </c>
      <c r="L20" s="91">
        <v>0.21161627499123115</v>
      </c>
    </row>
    <row r="21" spans="1:12">
      <c r="A21" s="47" t="s">
        <v>192</v>
      </c>
      <c r="B21" s="9" t="s">
        <v>190</v>
      </c>
      <c r="C21" s="314"/>
      <c r="D21" s="8"/>
      <c r="E21" s="7"/>
      <c r="F21" s="8"/>
      <c r="G21" s="7">
        <v>887.66220659866497</v>
      </c>
      <c r="H21" s="31">
        <v>0.78024944172269373</v>
      </c>
      <c r="I21" s="7"/>
      <c r="J21" s="8"/>
      <c r="K21" s="10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7">
        <v>144.37063558016001</v>
      </c>
      <c r="H22" s="31">
        <v>0.78024944172269373</v>
      </c>
      <c r="I22" s="7"/>
      <c r="J22" s="8"/>
      <c r="K22" s="10"/>
      <c r="L22" s="10"/>
    </row>
    <row r="23" spans="1:12">
      <c r="A23" s="47" t="s">
        <v>111</v>
      </c>
      <c r="B23" s="9" t="s">
        <v>190</v>
      </c>
      <c r="C23" s="314"/>
      <c r="D23" s="8"/>
      <c r="E23" s="7"/>
      <c r="F23" s="8"/>
      <c r="G23" s="17">
        <v>0.53285006151911996</v>
      </c>
      <c r="H23" s="31">
        <v>0.87158345117161251</v>
      </c>
      <c r="I23" s="7">
        <v>9.1311001470364594</v>
      </c>
      <c r="J23" s="31">
        <v>0.75651762925289368</v>
      </c>
      <c r="K23" s="10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17">
        <v>1.64884245945445</v>
      </c>
      <c r="H24" s="31">
        <v>1.0795284409157544</v>
      </c>
      <c r="I24" s="7">
        <v>4.9363544215723403</v>
      </c>
      <c r="J24" s="31">
        <v>0.75651762925289368</v>
      </c>
      <c r="K24" s="10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10"/>
      <c r="H25" s="6"/>
      <c r="I25" s="7">
        <v>1892.18664227352</v>
      </c>
      <c r="J25" s="31">
        <v>0.8651595092949842</v>
      </c>
      <c r="K25" s="10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10"/>
      <c r="H26" s="6"/>
      <c r="I26" s="7">
        <f>C4*1000</f>
        <v>522.92045272828898</v>
      </c>
      <c r="J26" s="31">
        <v>1</v>
      </c>
      <c r="K26" s="10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10"/>
      <c r="H27" s="6"/>
      <c r="I27" s="7">
        <v>5.9807861619403804</v>
      </c>
      <c r="J27" s="31">
        <v>0.75651762925289368</v>
      </c>
      <c r="K27" s="10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12"/>
      <c r="H28" s="6"/>
      <c r="I28" s="7">
        <v>16.3841252896962</v>
      </c>
      <c r="J28" s="31">
        <v>0.8651595092949842</v>
      </c>
      <c r="K28" s="10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10"/>
      <c r="H29" s="6"/>
      <c r="I29" s="10"/>
      <c r="J29" s="6"/>
      <c r="K29" s="7">
        <v>1000</v>
      </c>
      <c r="L29" s="91">
        <v>0.661784286215363</v>
      </c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10"/>
      <c r="H30" s="6"/>
      <c r="I30" s="10"/>
      <c r="J30" s="6"/>
      <c r="K30" s="7">
        <v>12.184223404254013</v>
      </c>
      <c r="L30" s="91">
        <v>0.64069940371799372</v>
      </c>
    </row>
    <row r="31" spans="1:12" ht="15" customHeight="1">
      <c r="A31" s="47" t="s">
        <v>117</v>
      </c>
      <c r="B31" s="9" t="s">
        <v>190</v>
      </c>
      <c r="C31" s="314"/>
      <c r="D31" s="8"/>
      <c r="E31" s="7"/>
      <c r="F31" s="8"/>
      <c r="G31" s="10"/>
      <c r="H31" s="6"/>
      <c r="I31" s="10"/>
      <c r="J31" s="6"/>
      <c r="K31" s="11">
        <v>3.1256748102538598E-3</v>
      </c>
      <c r="L31" s="91">
        <v>0.661784286215363</v>
      </c>
    </row>
    <row r="32" spans="1:12" ht="18.75" customHeight="1">
      <c r="A32" s="47" t="s">
        <v>118</v>
      </c>
      <c r="B32" s="9" t="s">
        <v>190</v>
      </c>
      <c r="C32" s="314"/>
      <c r="D32" s="8"/>
      <c r="E32" s="7"/>
      <c r="F32" s="8"/>
      <c r="G32" s="10"/>
      <c r="H32" s="6"/>
      <c r="I32" s="10"/>
      <c r="J32" s="6"/>
      <c r="K32" s="17">
        <v>0.31385642040772449</v>
      </c>
      <c r="L32" s="91">
        <v>0.60055699754472114</v>
      </c>
    </row>
    <row r="33" spans="1:12" ht="18.75" customHeight="1">
      <c r="A33" s="47" t="s">
        <v>119</v>
      </c>
      <c r="B33" s="9" t="s">
        <v>190</v>
      </c>
      <c r="C33" s="314"/>
      <c r="D33" s="8"/>
      <c r="E33" s="7"/>
      <c r="F33" s="8"/>
      <c r="G33" s="10"/>
      <c r="H33" s="6"/>
      <c r="I33" s="10"/>
      <c r="J33" s="6"/>
      <c r="K33" s="17">
        <v>7.1353245542253793E-2</v>
      </c>
      <c r="L33" s="91">
        <v>0.56114415994387934</v>
      </c>
    </row>
    <row r="34" spans="1:12" ht="18.75" customHeight="1">
      <c r="A34" s="47"/>
      <c r="B34" s="9"/>
      <c r="C34" s="314"/>
      <c r="D34" s="8"/>
      <c r="E34" s="7"/>
      <c r="F34" s="8"/>
      <c r="G34" s="10"/>
      <c r="H34" s="6"/>
      <c r="I34" s="10"/>
      <c r="J34" s="6"/>
      <c r="K34" s="10"/>
      <c r="L34" s="91"/>
    </row>
    <row r="35" spans="1:12">
      <c r="A35" s="34" t="s">
        <v>120</v>
      </c>
      <c r="B35" s="9"/>
      <c r="C35" s="314"/>
      <c r="D35" s="8"/>
      <c r="E35" s="10"/>
      <c r="F35" s="187"/>
      <c r="G35" s="186"/>
      <c r="H35" s="187"/>
      <c r="I35" s="186"/>
      <c r="J35" s="187"/>
      <c r="K35" s="227"/>
      <c r="L35" s="227"/>
    </row>
    <row r="36" spans="1:12" s="25" customFormat="1">
      <c r="A36" s="92" t="s">
        <v>121</v>
      </c>
      <c r="B36" s="93" t="s">
        <v>191</v>
      </c>
      <c r="C36" s="314"/>
      <c r="D36" s="37"/>
      <c r="E36" s="17">
        <v>1.2959117952517902</v>
      </c>
      <c r="F36" s="98">
        <v>0.61936017207100602</v>
      </c>
      <c r="G36" s="10" t="s">
        <v>100</v>
      </c>
      <c r="H36" s="98"/>
      <c r="I36" s="7">
        <v>2.0417370603238871</v>
      </c>
      <c r="J36" s="98">
        <v>0.8651595092949842</v>
      </c>
      <c r="K36" s="17">
        <v>0.53761624372144168</v>
      </c>
      <c r="L36" s="171">
        <v>0.21161627499123115</v>
      </c>
    </row>
    <row r="37" spans="1:12" s="25" customFormat="1">
      <c r="A37" s="92" t="s">
        <v>122</v>
      </c>
      <c r="B37" s="93" t="s">
        <v>191</v>
      </c>
      <c r="C37" s="314"/>
      <c r="D37" s="37"/>
      <c r="E37" s="17" t="s">
        <v>100</v>
      </c>
      <c r="F37" s="98"/>
      <c r="G37" s="7">
        <v>0</v>
      </c>
      <c r="H37" s="98">
        <v>0.63372927315632377</v>
      </c>
      <c r="I37" s="7">
        <v>0</v>
      </c>
      <c r="J37" s="98">
        <v>0.8651595092949842</v>
      </c>
      <c r="K37" s="7">
        <v>0</v>
      </c>
      <c r="L37" s="171">
        <v>0.21161627499123115</v>
      </c>
    </row>
    <row r="38" spans="1:12">
      <c r="A38" s="47" t="s">
        <v>123</v>
      </c>
      <c r="B38" s="9" t="s">
        <v>210</v>
      </c>
      <c r="C38" s="314"/>
      <c r="D38" s="31"/>
      <c r="E38" s="11">
        <v>1.3342016749025047E-6</v>
      </c>
      <c r="F38" s="98"/>
      <c r="G38" s="17"/>
      <c r="H38" s="98"/>
      <c r="I38" s="17"/>
      <c r="J38" s="98"/>
      <c r="K38" s="17"/>
      <c r="L38" s="171"/>
    </row>
    <row r="39" spans="1:12">
      <c r="A39" s="47" t="s">
        <v>194</v>
      </c>
      <c r="B39" s="9" t="s">
        <v>195</v>
      </c>
      <c r="C39" s="314"/>
      <c r="D39" s="31"/>
      <c r="E39" s="17" t="s">
        <v>229</v>
      </c>
      <c r="F39" s="185"/>
      <c r="G39" s="184"/>
      <c r="H39" s="185"/>
      <c r="I39" s="184"/>
      <c r="J39" s="185"/>
      <c r="K39" s="184"/>
      <c r="L39" s="228"/>
    </row>
    <row r="40" spans="1:12">
      <c r="A40" s="47" t="s">
        <v>197</v>
      </c>
      <c r="B40" s="9" t="s">
        <v>195</v>
      </c>
      <c r="C40" s="314"/>
      <c r="D40" s="31"/>
      <c r="E40" s="17" t="s">
        <v>228</v>
      </c>
      <c r="F40" s="185"/>
      <c r="G40" s="184"/>
      <c r="H40" s="185"/>
      <c r="I40" s="184"/>
      <c r="J40" s="185"/>
      <c r="K40" s="184"/>
      <c r="L40" s="228"/>
    </row>
    <row r="41" spans="1:12">
      <c r="A41" s="47" t="s">
        <v>199</v>
      </c>
      <c r="B41" s="9" t="s">
        <v>200</v>
      </c>
      <c r="C41" s="314"/>
      <c r="D41" s="31"/>
      <c r="E41" s="97">
        <v>3.8364226126421631E-5</v>
      </c>
      <c r="F41" s="98"/>
      <c r="G41" s="17"/>
      <c r="H41" s="98"/>
      <c r="I41" s="17"/>
      <c r="J41" s="98"/>
      <c r="K41" s="17"/>
      <c r="L41" s="171"/>
    </row>
    <row r="42" spans="1:12">
      <c r="A42" s="47"/>
      <c r="B42" s="9"/>
      <c r="C42" s="314"/>
      <c r="D42" s="6"/>
      <c r="E42" s="10"/>
      <c r="F42" s="187"/>
      <c r="G42" s="186"/>
      <c r="H42" s="187"/>
      <c r="I42" s="186"/>
      <c r="J42" s="187"/>
      <c r="K42" s="186"/>
      <c r="L42" s="186"/>
    </row>
    <row r="43" spans="1:12">
      <c r="A43" s="45" t="s">
        <v>130</v>
      </c>
      <c r="B43" s="44"/>
      <c r="C43" s="314"/>
      <c r="D43" s="6"/>
      <c r="E43" s="10"/>
      <c r="F43" s="187"/>
      <c r="G43" s="186"/>
      <c r="H43" s="187"/>
      <c r="I43" s="186"/>
      <c r="J43" s="187"/>
      <c r="K43" s="186"/>
      <c r="L43" s="186"/>
    </row>
    <row r="44" spans="1:12">
      <c r="A44" s="47" t="s">
        <v>131</v>
      </c>
      <c r="B44" s="9" t="s">
        <v>201</v>
      </c>
      <c r="C44" s="314"/>
      <c r="D44" s="31"/>
      <c r="E44" s="7">
        <v>1</v>
      </c>
      <c r="F44" s="98">
        <v>0.6768726008039222</v>
      </c>
      <c r="G44" s="7">
        <v>532.08487867030499</v>
      </c>
      <c r="H44" s="31">
        <v>0.78024944172269373</v>
      </c>
      <c r="I44" s="186"/>
      <c r="J44" s="187"/>
      <c r="K44" s="7">
        <v>99.766702607926504</v>
      </c>
      <c r="L44" s="171">
        <v>0.89840455750574211</v>
      </c>
    </row>
    <row r="45" spans="1:12">
      <c r="A45" s="47" t="s">
        <v>133</v>
      </c>
      <c r="B45" s="9" t="s">
        <v>201</v>
      </c>
      <c r="C45" s="314"/>
      <c r="D45" s="31"/>
      <c r="E45" s="7">
        <v>0</v>
      </c>
      <c r="F45" s="98">
        <v>0.6768726008039222</v>
      </c>
      <c r="G45" s="7">
        <v>36.710394831036702</v>
      </c>
      <c r="H45" s="31">
        <v>0.78024944172269373</v>
      </c>
      <c r="I45" s="186"/>
      <c r="J45" s="187"/>
      <c r="K45" s="7">
        <v>11.922299719634101</v>
      </c>
      <c r="L45" s="171">
        <v>0.89840455750574211</v>
      </c>
    </row>
    <row r="46" spans="1:12">
      <c r="A46" s="47" t="s">
        <v>134</v>
      </c>
      <c r="B46" s="9" t="s">
        <v>201</v>
      </c>
      <c r="C46" s="314"/>
      <c r="D46" s="31"/>
      <c r="E46" s="7">
        <v>4102.020001163849</v>
      </c>
      <c r="F46" s="98">
        <v>0.6768726008039222</v>
      </c>
      <c r="G46" s="7">
        <v>2328.72666181056</v>
      </c>
      <c r="H46" s="31">
        <v>0.78024944172269373</v>
      </c>
      <c r="I46" s="186"/>
      <c r="J46" s="187"/>
      <c r="K46" s="7">
        <v>401.54304373486599</v>
      </c>
      <c r="L46" s="171">
        <v>0.89840455750574211</v>
      </c>
    </row>
    <row r="47" spans="1:12">
      <c r="A47" s="47" t="s">
        <v>135</v>
      </c>
      <c r="B47" s="9" t="s">
        <v>201</v>
      </c>
      <c r="C47" s="314"/>
      <c r="D47" s="31"/>
      <c r="E47" s="7">
        <v>0</v>
      </c>
      <c r="F47" s="98">
        <v>0.6768726008039222</v>
      </c>
      <c r="G47" s="7">
        <v>0</v>
      </c>
      <c r="H47" s="31">
        <v>0.78024944172269373</v>
      </c>
      <c r="I47" s="186"/>
      <c r="J47" s="187"/>
      <c r="K47" s="7">
        <v>0</v>
      </c>
      <c r="L47" s="171">
        <v>0.89840455750574211</v>
      </c>
    </row>
    <row r="48" spans="1:12">
      <c r="A48" s="47" t="s">
        <v>136</v>
      </c>
      <c r="B48" s="9" t="s">
        <v>201</v>
      </c>
      <c r="C48" s="314"/>
      <c r="D48" s="31"/>
      <c r="E48" s="7">
        <v>2238.037309554411</v>
      </c>
      <c r="F48" s="98">
        <v>0.6768726008039222</v>
      </c>
      <c r="G48" s="7">
        <v>225.835326257676</v>
      </c>
      <c r="H48" s="31">
        <v>0.78024944172269373</v>
      </c>
      <c r="I48" s="7">
        <v>53238.513411042397</v>
      </c>
      <c r="J48" s="98">
        <v>1</v>
      </c>
      <c r="K48" s="7">
        <v>154.09633481509201</v>
      </c>
      <c r="L48" s="171">
        <v>0.89840455750574211</v>
      </c>
    </row>
    <row r="49" spans="1:12">
      <c r="A49" s="47" t="s">
        <v>137</v>
      </c>
      <c r="B49" s="9" t="s">
        <v>201</v>
      </c>
      <c r="C49" s="314"/>
      <c r="D49" s="6"/>
      <c r="E49" s="7">
        <v>1004.3586868046093</v>
      </c>
      <c r="F49" s="98">
        <v>0.6768726008039222</v>
      </c>
      <c r="G49" s="7">
        <v>11.0832353746975</v>
      </c>
      <c r="H49" s="31">
        <v>0.78024944172269373</v>
      </c>
      <c r="I49" s="186"/>
      <c r="J49" s="187"/>
      <c r="K49" s="7">
        <v>2.4984588355848891</v>
      </c>
      <c r="L49" s="171">
        <v>0.89840455750574211</v>
      </c>
    </row>
    <row r="50" spans="1:12">
      <c r="A50" s="47"/>
      <c r="B50" s="9"/>
      <c r="C50" s="314"/>
      <c r="D50" s="6"/>
      <c r="E50" s="10"/>
      <c r="F50" s="6"/>
      <c r="G50" s="10"/>
      <c r="H50" s="6"/>
      <c r="I50" s="10"/>
      <c r="J50" s="6"/>
      <c r="K50" s="10"/>
      <c r="L50" s="10"/>
    </row>
    <row r="51" spans="1:12">
      <c r="A51" s="45" t="s">
        <v>138</v>
      </c>
      <c r="B51" s="44"/>
      <c r="C51" s="314"/>
      <c r="D51" s="6"/>
      <c r="E51" s="10"/>
      <c r="F51" s="6"/>
      <c r="G51" s="10"/>
      <c r="H51" s="6"/>
      <c r="I51" s="10"/>
      <c r="J51" s="6"/>
      <c r="K51" s="10"/>
      <c r="L51" s="10"/>
    </row>
    <row r="52" spans="1:12">
      <c r="A52" s="47" t="s">
        <v>139</v>
      </c>
      <c r="B52" s="9" t="s">
        <v>190</v>
      </c>
      <c r="C52" s="314"/>
      <c r="D52" s="31"/>
      <c r="E52" s="17">
        <v>4.8095181948742842E-2</v>
      </c>
      <c r="F52" s="31">
        <v>0.61936017207100602</v>
      </c>
      <c r="G52" s="17">
        <v>8.4782904845964388E-2</v>
      </c>
      <c r="H52" s="31">
        <v>1</v>
      </c>
      <c r="I52" s="7">
        <v>1.7450396594399018</v>
      </c>
      <c r="J52" s="31">
        <v>0.8651595092949842</v>
      </c>
      <c r="K52" s="10">
        <v>3.5385407693370299E-2</v>
      </c>
      <c r="L52" s="91">
        <v>0.661784286215363</v>
      </c>
    </row>
    <row r="53" spans="1:12">
      <c r="A53" s="47" t="s">
        <v>140</v>
      </c>
      <c r="B53" s="9" t="s">
        <v>190</v>
      </c>
      <c r="C53" s="314"/>
      <c r="D53" s="6"/>
      <c r="E53" s="17">
        <v>5.0011107108425754E-4</v>
      </c>
      <c r="F53" s="31">
        <v>0.61936017207100602</v>
      </c>
      <c r="G53" s="17">
        <v>1.65992971044105</v>
      </c>
      <c r="H53" s="31">
        <v>1</v>
      </c>
      <c r="I53" s="17">
        <v>15.9158913217024</v>
      </c>
      <c r="J53" s="31">
        <v>0.8651595092949842</v>
      </c>
      <c r="K53" s="12">
        <v>3.6624008679579038E-4</v>
      </c>
      <c r="L53" s="91">
        <v>0.661784286215363</v>
      </c>
    </row>
    <row r="54" spans="1:12" ht="17">
      <c r="A54" s="47" t="s">
        <v>141</v>
      </c>
      <c r="B54" s="9" t="s">
        <v>190</v>
      </c>
      <c r="C54" s="314"/>
      <c r="D54" s="6"/>
      <c r="E54" s="17">
        <v>0.15518204379365971</v>
      </c>
      <c r="F54" s="31">
        <v>0.61936017207100602</v>
      </c>
      <c r="G54" s="17">
        <v>6.5737342664649798E-2</v>
      </c>
      <c r="H54" s="31">
        <v>1</v>
      </c>
      <c r="I54" s="17">
        <v>5.2557169575141701E-3</v>
      </c>
      <c r="J54" s="31">
        <v>0.23817958611013679</v>
      </c>
      <c r="K54" s="10">
        <v>2.5775457412088372E-2</v>
      </c>
      <c r="L54" s="91">
        <v>0.661784286215363</v>
      </c>
    </row>
    <row r="55" spans="1:12">
      <c r="A55" s="47" t="s">
        <v>142</v>
      </c>
      <c r="B55" s="9" t="s">
        <v>202</v>
      </c>
      <c r="C55" s="314"/>
      <c r="D55" s="6"/>
      <c r="E55" s="10">
        <v>0</v>
      </c>
      <c r="F55" s="31">
        <v>0.61936017207100602</v>
      </c>
      <c r="G55" s="17"/>
      <c r="H55" s="29"/>
      <c r="I55" s="10"/>
      <c r="J55" s="6"/>
      <c r="K55" s="10"/>
      <c r="L55" s="10"/>
    </row>
    <row r="56" spans="1:12" ht="17">
      <c r="A56" s="47" t="s">
        <v>144</v>
      </c>
      <c r="B56" s="9" t="s">
        <v>202</v>
      </c>
      <c r="C56" s="314"/>
      <c r="D56" s="6"/>
      <c r="E56" s="10">
        <v>0</v>
      </c>
      <c r="F56" s="31">
        <v>0.61936017207100602</v>
      </c>
      <c r="G56" s="7">
        <v>0</v>
      </c>
      <c r="H56" s="31">
        <v>0.87542958899504275</v>
      </c>
      <c r="I56" s="10">
        <v>1.811584683576278E-2</v>
      </c>
      <c r="J56" s="31">
        <v>0.8651595092949842</v>
      </c>
      <c r="K56" s="10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12">
        <v>4.1328810750509E-4</v>
      </c>
      <c r="H57" s="31">
        <v>0.87158345117161251</v>
      </c>
      <c r="I57" s="17">
        <v>0.38293745682969499</v>
      </c>
      <c r="J57" s="31">
        <v>0.8651595092949842</v>
      </c>
      <c r="K57" s="10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10">
        <v>1.0639708350775601E-2</v>
      </c>
      <c r="H58" s="31">
        <v>1</v>
      </c>
      <c r="I58" s="17">
        <v>0.34421572502912001</v>
      </c>
      <c r="J58" s="31">
        <v>0.8651595092949842</v>
      </c>
      <c r="K58" s="10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11">
        <v>3.2511211164328899E-3</v>
      </c>
      <c r="H59" s="31">
        <v>1</v>
      </c>
      <c r="I59" s="17">
        <v>1.1926377866258899E-3</v>
      </c>
      <c r="J59" s="31">
        <v>0.8651595092949842</v>
      </c>
      <c r="K59" s="10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11">
        <v>3.6403135997277502E-3</v>
      </c>
      <c r="H60" s="31">
        <v>1</v>
      </c>
      <c r="I60" s="10">
        <v>7.4284890208572822E-4</v>
      </c>
      <c r="J60" s="31">
        <v>0.8651595092949842</v>
      </c>
      <c r="K60" s="10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17"/>
      <c r="H61" s="29"/>
      <c r="I61" s="10">
        <v>0.10816719573996378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17"/>
      <c r="H62" s="29"/>
      <c r="I62" s="11">
        <v>4.0618524333774515E-3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17"/>
      <c r="H63" s="29"/>
      <c r="I63" s="10"/>
      <c r="J63" s="6"/>
      <c r="K63" s="11">
        <v>8.0186104466733396E-3</v>
      </c>
      <c r="L63" s="91">
        <v>0.44131217116801125</v>
      </c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17"/>
      <c r="H64" s="29"/>
      <c r="I64" s="10"/>
      <c r="J64" s="6"/>
      <c r="K64" s="7">
        <v>0</v>
      </c>
      <c r="L64" s="91">
        <v>0.21161627499123115</v>
      </c>
    </row>
    <row r="65" spans="1:12">
      <c r="A65" s="47"/>
      <c r="B65" s="9"/>
      <c r="C65" s="314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314"/>
      <c r="D66" s="6"/>
      <c r="E66" s="7"/>
      <c r="F66" s="8"/>
      <c r="G66" s="1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314"/>
      <c r="D67" s="33"/>
      <c r="E67" s="7">
        <v>10.630884988120028</v>
      </c>
      <c r="F67" s="31">
        <v>0.61936017207100602</v>
      </c>
      <c r="G67" s="17" t="s">
        <v>100</v>
      </c>
      <c r="H67" s="31"/>
      <c r="I67" s="17">
        <v>4.8991928744220603</v>
      </c>
      <c r="J67" s="31">
        <v>0.8651595092949842</v>
      </c>
      <c r="K67" s="7" t="s">
        <v>100</v>
      </c>
      <c r="L67" s="91"/>
    </row>
    <row r="68" spans="1:12">
      <c r="A68" s="47" t="s">
        <v>109</v>
      </c>
      <c r="B68" s="9" t="s">
        <v>191</v>
      </c>
      <c r="C68" s="314"/>
      <c r="D68" s="33"/>
      <c r="E68" s="7" t="s">
        <v>100</v>
      </c>
      <c r="F68" s="98"/>
      <c r="G68" s="7">
        <v>0</v>
      </c>
      <c r="H68" s="31">
        <v>0.63372927315632377</v>
      </c>
      <c r="I68" s="7">
        <v>0</v>
      </c>
      <c r="J68" s="31">
        <v>0.8651595092949842</v>
      </c>
      <c r="K68" s="7">
        <v>0</v>
      </c>
      <c r="L68" s="91">
        <v>0.21161627499123115</v>
      </c>
    </row>
    <row r="69" spans="1:12">
      <c r="A69" s="47" t="s">
        <v>153</v>
      </c>
      <c r="B69" s="9" t="s">
        <v>190</v>
      </c>
      <c r="C69" s="314"/>
      <c r="D69" s="6"/>
      <c r="E69" s="10">
        <v>6.5264586805965211E-2</v>
      </c>
      <c r="F69" s="98">
        <v>0.61936017207100602</v>
      </c>
      <c r="G69" s="7">
        <v>0</v>
      </c>
      <c r="H69" s="31">
        <v>0.63372927315632377</v>
      </c>
      <c r="I69" s="10">
        <v>2.9853807974255801E-2</v>
      </c>
      <c r="J69" s="31">
        <v>0.8651595092949842</v>
      </c>
      <c r="K69" s="7">
        <v>0</v>
      </c>
      <c r="L69" s="91">
        <v>0.21161627499123115</v>
      </c>
    </row>
    <row r="70" spans="1:12">
      <c r="A70" s="47" t="s">
        <v>154</v>
      </c>
      <c r="B70" s="9" t="s">
        <v>190</v>
      </c>
      <c r="C70" s="314"/>
      <c r="D70" s="6"/>
      <c r="E70" s="17">
        <v>11.412344492085461</v>
      </c>
      <c r="F70" s="98">
        <v>0.61936017207100602</v>
      </c>
      <c r="G70" s="7">
        <v>0</v>
      </c>
      <c r="H70" s="31">
        <v>0.63372927315632377</v>
      </c>
      <c r="I70" s="12">
        <v>2.7876770844755401E-4</v>
      </c>
      <c r="J70" s="31">
        <v>0.8651595092949842</v>
      </c>
      <c r="K70" s="11">
        <v>2.0888594267305101E-3</v>
      </c>
      <c r="L70" s="91">
        <v>0.21161627499123115</v>
      </c>
    </row>
    <row r="71" spans="1:12">
      <c r="A71" s="47" t="s">
        <v>142</v>
      </c>
      <c r="B71" s="9" t="s">
        <v>202</v>
      </c>
      <c r="C71" s="314"/>
      <c r="D71" s="6"/>
      <c r="E71" s="11">
        <v>1.6841201131630734E-3</v>
      </c>
      <c r="F71" s="98">
        <v>0.61936017207100602</v>
      </c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314"/>
      <c r="D72" s="6"/>
      <c r="E72" s="7"/>
      <c r="F72" s="8"/>
      <c r="G72" s="68">
        <v>0</v>
      </c>
      <c r="H72" s="31">
        <v>0.63372927315632377</v>
      </c>
      <c r="I72" s="17">
        <v>2.2124977311760701E-2</v>
      </c>
      <c r="J72" s="31">
        <v>0.8651595092949842</v>
      </c>
      <c r="K72" s="10"/>
      <c r="L72" s="10"/>
    </row>
    <row r="73" spans="1:12">
      <c r="A73" s="47" t="s">
        <v>156</v>
      </c>
      <c r="B73" s="9" t="s">
        <v>202</v>
      </c>
      <c r="C73" s="314"/>
      <c r="D73" s="6"/>
      <c r="E73" s="7"/>
      <c r="F73" s="8"/>
      <c r="G73" s="231">
        <v>9.2360033103498405E-4</v>
      </c>
      <c r="H73" s="31">
        <v>0.63372927315632377</v>
      </c>
      <c r="I73" s="10">
        <v>1.24707601975665E-4</v>
      </c>
      <c r="J73" s="31">
        <v>0.8651595092949842</v>
      </c>
      <c r="K73" s="10"/>
      <c r="L73" s="10"/>
    </row>
    <row r="74" spans="1:12">
      <c r="A74" s="47"/>
      <c r="B74" s="9"/>
      <c r="C74" s="314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314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314"/>
      <c r="D76" s="6"/>
      <c r="E76" s="7">
        <v>0</v>
      </c>
      <c r="F76" s="98">
        <v>1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314"/>
      <c r="D77" s="6"/>
      <c r="E77" s="7"/>
      <c r="F77" s="8"/>
      <c r="G77" s="17"/>
      <c r="H77" s="29"/>
      <c r="I77" s="17">
        <v>4.1994333369432679</v>
      </c>
      <c r="J77" s="31">
        <v>0.63135908839003851</v>
      </c>
      <c r="K77" s="10"/>
      <c r="L77" s="10"/>
    </row>
    <row r="78" spans="1:12">
      <c r="A78" s="47" t="s">
        <v>160</v>
      </c>
      <c r="B78" s="9" t="s">
        <v>190</v>
      </c>
      <c r="C78" s="314"/>
      <c r="D78" s="6"/>
      <c r="E78" s="7"/>
      <c r="F78" s="8"/>
      <c r="G78" s="17"/>
      <c r="H78" s="29"/>
      <c r="I78" s="17">
        <v>4.5783212236736963</v>
      </c>
      <c r="J78" s="31">
        <v>0.63135908839003851</v>
      </c>
      <c r="K78" s="10"/>
      <c r="L78" s="10"/>
    </row>
    <row r="79" spans="1:12">
      <c r="A79" s="47" t="s">
        <v>161</v>
      </c>
      <c r="B79" s="9" t="s">
        <v>190</v>
      </c>
      <c r="C79" s="314"/>
      <c r="D79" s="6"/>
      <c r="E79" s="7"/>
      <c r="F79" s="8"/>
      <c r="G79" s="17">
        <v>1.5868980454930099</v>
      </c>
      <c r="H79" s="31">
        <v>1</v>
      </c>
      <c r="I79" s="17">
        <v>0.23190100237347394</v>
      </c>
      <c r="J79" s="31">
        <v>0.8651595092949842</v>
      </c>
      <c r="K79" s="10">
        <v>7.3258003365324897E-2</v>
      </c>
      <c r="L79" s="91">
        <v>0.661784286215363</v>
      </c>
    </row>
    <row r="80" spans="1:12">
      <c r="A80" s="47" t="s">
        <v>112</v>
      </c>
      <c r="B80" s="9" t="s">
        <v>190</v>
      </c>
      <c r="C80" s="314"/>
      <c r="D80" s="6"/>
      <c r="E80" s="7"/>
      <c r="F80" s="8"/>
      <c r="G80" s="17">
        <v>0.810283063329857</v>
      </c>
      <c r="H80" s="31">
        <v>1</v>
      </c>
      <c r="I80" s="17">
        <v>5.2566930013539599</v>
      </c>
      <c r="J80" s="31">
        <v>0.8651595092949842</v>
      </c>
      <c r="K80" s="10"/>
      <c r="L80" s="10"/>
    </row>
    <row r="81" spans="1:14">
      <c r="A81" s="47" t="s">
        <v>162</v>
      </c>
      <c r="B81" s="9" t="s">
        <v>190</v>
      </c>
      <c r="C81" s="314"/>
      <c r="D81" s="6"/>
      <c r="E81" s="7"/>
      <c r="F81" s="8"/>
      <c r="G81" s="7"/>
      <c r="H81" s="31"/>
      <c r="I81" s="10"/>
      <c r="J81" s="6"/>
      <c r="K81" s="17">
        <v>12.118942645769399</v>
      </c>
      <c r="L81" s="91">
        <v>0.661784286215363</v>
      </c>
    </row>
    <row r="82" spans="1:14">
      <c r="A82" s="47" t="s">
        <v>163</v>
      </c>
      <c r="B82" s="9" t="s">
        <v>190</v>
      </c>
      <c r="C82" s="314"/>
      <c r="D82" s="6"/>
      <c r="E82" s="7"/>
      <c r="F82" s="8"/>
      <c r="G82" s="7"/>
      <c r="H82" s="8"/>
      <c r="I82" s="10"/>
      <c r="J82" s="6"/>
      <c r="K82" s="7">
        <v>0</v>
      </c>
      <c r="L82" s="91">
        <v>0.56114415994387934</v>
      </c>
    </row>
    <row r="83" spans="1:14">
      <c r="A83" s="47" t="s">
        <v>137</v>
      </c>
      <c r="B83" s="9" t="s">
        <v>190</v>
      </c>
      <c r="C83" s="314"/>
      <c r="D83" s="6"/>
      <c r="E83" s="7" t="s">
        <v>100</v>
      </c>
      <c r="F83" s="98"/>
      <c r="G83" s="7">
        <v>2.4830533335356151</v>
      </c>
      <c r="H83" s="31">
        <v>1</v>
      </c>
      <c r="I83" s="10"/>
      <c r="J83" s="6"/>
      <c r="K83" s="10"/>
      <c r="L83" s="10"/>
    </row>
    <row r="84" spans="1:14">
      <c r="A84" s="47"/>
      <c r="B84" s="9"/>
      <c r="C84" s="314"/>
      <c r="D84" s="6"/>
      <c r="E84" s="7"/>
      <c r="F84" s="8"/>
      <c r="G84" s="7"/>
      <c r="H84" s="8"/>
      <c r="I84" s="10"/>
      <c r="J84" s="6"/>
      <c r="K84" s="10"/>
      <c r="L84" s="10"/>
      <c r="N84" s="176"/>
    </row>
    <row r="85" spans="1:14">
      <c r="A85" s="45" t="s">
        <v>164</v>
      </c>
      <c r="B85" s="44"/>
      <c r="C85" s="314"/>
      <c r="D85" s="6"/>
      <c r="E85" s="7"/>
      <c r="F85" s="8"/>
      <c r="G85" s="7"/>
      <c r="H85" s="8"/>
      <c r="I85" s="10"/>
      <c r="J85" s="6"/>
      <c r="K85" s="10"/>
      <c r="L85" s="10"/>
    </row>
    <row r="86" spans="1:14">
      <c r="A86" s="47" t="s">
        <v>165</v>
      </c>
      <c r="B86" s="9" t="s">
        <v>190</v>
      </c>
      <c r="C86" s="314"/>
      <c r="D86" s="31"/>
      <c r="E86" s="7"/>
      <c r="F86" s="8"/>
      <c r="G86" s="7"/>
      <c r="H86" s="8"/>
      <c r="I86" s="10"/>
      <c r="J86" s="6"/>
      <c r="K86" s="10"/>
      <c r="L86" s="10"/>
    </row>
    <row r="87" spans="1:14">
      <c r="A87" s="47" t="s">
        <v>231</v>
      </c>
      <c r="B87" s="9" t="s">
        <v>190</v>
      </c>
      <c r="C87" s="314"/>
      <c r="D87" s="31"/>
      <c r="E87" s="7"/>
      <c r="F87" s="8"/>
      <c r="G87" s="7"/>
      <c r="H87" s="8"/>
      <c r="I87" s="10"/>
      <c r="J87" s="6"/>
      <c r="K87" s="10"/>
      <c r="L87" s="10"/>
    </row>
    <row r="88" spans="1:14">
      <c r="A88" s="47" t="s">
        <v>166</v>
      </c>
      <c r="B88" s="9" t="s">
        <v>190</v>
      </c>
      <c r="C88" s="314"/>
      <c r="D88" s="6"/>
      <c r="E88" s="7">
        <v>784.46596680624702</v>
      </c>
      <c r="F88" s="98">
        <v>1</v>
      </c>
      <c r="G88" s="7"/>
      <c r="H88" s="8"/>
      <c r="I88" s="10"/>
      <c r="J88" s="6"/>
      <c r="K88" s="10"/>
      <c r="L88" s="10"/>
    </row>
    <row r="89" spans="1:14">
      <c r="A89" s="47" t="s">
        <v>167</v>
      </c>
      <c r="B89" s="9" t="s">
        <v>190</v>
      </c>
      <c r="C89" s="314"/>
      <c r="D89" s="6"/>
      <c r="E89" s="7"/>
      <c r="F89" s="8"/>
      <c r="G89" s="7"/>
      <c r="H89" s="8"/>
      <c r="I89" s="17">
        <v>5.9872622430969624</v>
      </c>
      <c r="J89" s="31">
        <v>0.8651595092949842</v>
      </c>
      <c r="K89" s="10"/>
      <c r="L89" s="10"/>
    </row>
    <row r="90" spans="1:14">
      <c r="A90" s="47" t="s">
        <v>168</v>
      </c>
      <c r="B90" s="9" t="s">
        <v>190</v>
      </c>
      <c r="C90" s="314"/>
      <c r="D90" s="6"/>
      <c r="E90" s="7"/>
      <c r="F90" s="8"/>
      <c r="G90" s="7"/>
      <c r="H90" s="8"/>
      <c r="I90" s="17">
        <v>0.135712776039006</v>
      </c>
      <c r="J90" s="31">
        <v>0.80378970150824269</v>
      </c>
      <c r="K90" s="10"/>
      <c r="L90" s="10"/>
    </row>
    <row r="91" spans="1:14">
      <c r="A91" s="47" t="s">
        <v>169</v>
      </c>
      <c r="B91" s="9" t="s">
        <v>190</v>
      </c>
      <c r="C91" s="314"/>
      <c r="D91" s="6"/>
      <c r="E91" s="7"/>
      <c r="F91" s="8"/>
      <c r="G91" s="7">
        <v>3.3167052049147201</v>
      </c>
      <c r="H91" s="31">
        <v>1</v>
      </c>
      <c r="I91" s="17">
        <v>2.7962941120834515</v>
      </c>
      <c r="J91" s="31">
        <v>0.80378970150824269</v>
      </c>
      <c r="K91" s="10"/>
      <c r="L91" s="10"/>
    </row>
    <row r="92" spans="1:14">
      <c r="A92" s="47" t="s">
        <v>170</v>
      </c>
      <c r="B92" s="9" t="s">
        <v>190</v>
      </c>
      <c r="C92" s="314"/>
      <c r="D92" s="6"/>
      <c r="E92" s="7"/>
      <c r="F92" s="8"/>
      <c r="G92" s="7">
        <v>0</v>
      </c>
      <c r="H92" s="31">
        <v>1</v>
      </c>
      <c r="I92" s="17">
        <v>2.5123959994902401E-2</v>
      </c>
      <c r="J92" s="31">
        <v>0.8651595092949842</v>
      </c>
      <c r="K92" s="10"/>
      <c r="L92" s="10"/>
    </row>
    <row r="93" spans="1:14">
      <c r="A93" s="47" t="s">
        <v>171</v>
      </c>
      <c r="B93" s="9" t="s">
        <v>190</v>
      </c>
      <c r="C93" s="314"/>
      <c r="D93" s="6"/>
      <c r="E93" s="7"/>
      <c r="F93" s="8"/>
      <c r="G93" s="7">
        <v>0</v>
      </c>
      <c r="H93" s="31">
        <v>1</v>
      </c>
      <c r="I93" s="17">
        <v>8.9192693220566908E-3</v>
      </c>
      <c r="J93" s="31">
        <v>0.8651595092949842</v>
      </c>
      <c r="K93" s="12">
        <v>2.0782412302219799E-4</v>
      </c>
      <c r="L93" s="91">
        <v>0.661784286215363</v>
      </c>
    </row>
    <row r="94" spans="1:14">
      <c r="A94" s="47" t="s">
        <v>162</v>
      </c>
      <c r="B94" s="9" t="s">
        <v>190</v>
      </c>
      <c r="C94" s="314"/>
      <c r="D94" s="6"/>
      <c r="E94" s="7"/>
      <c r="F94" s="8"/>
      <c r="G94" s="7"/>
      <c r="H94" s="8"/>
      <c r="I94" s="10"/>
      <c r="J94" s="6"/>
      <c r="K94" s="7">
        <v>0</v>
      </c>
      <c r="L94" s="91">
        <v>0.661784286215363</v>
      </c>
    </row>
    <row r="95" spans="1:14">
      <c r="A95" s="47" t="s">
        <v>163</v>
      </c>
      <c r="B95" s="9" t="s">
        <v>190</v>
      </c>
      <c r="C95" s="314"/>
      <c r="D95" s="6"/>
      <c r="E95" s="7"/>
      <c r="F95" s="8"/>
      <c r="G95" s="17"/>
      <c r="H95" s="8"/>
      <c r="I95" s="10"/>
      <c r="J95" s="6"/>
      <c r="K95" s="7">
        <v>0</v>
      </c>
      <c r="L95" s="91">
        <v>0.56114415994387934</v>
      </c>
    </row>
    <row r="96" spans="1:14">
      <c r="A96" s="47" t="s">
        <v>172</v>
      </c>
      <c r="B96" s="9" t="s">
        <v>190</v>
      </c>
      <c r="C96" s="314"/>
      <c r="D96" s="6"/>
      <c r="E96" s="7">
        <v>0.12031168146814723</v>
      </c>
      <c r="F96" s="98">
        <v>0.61936017207100602</v>
      </c>
      <c r="G96" s="17">
        <v>0.11026106085935274</v>
      </c>
      <c r="H96" s="31">
        <v>1</v>
      </c>
      <c r="I96" s="10"/>
      <c r="J96" s="6"/>
      <c r="K96" s="17">
        <v>3.2444362846339221</v>
      </c>
      <c r="L96" s="91">
        <v>0.661784286215363</v>
      </c>
      <c r="M96" s="276"/>
    </row>
    <row r="97" spans="1:17">
      <c r="A97" s="47" t="s">
        <v>173</v>
      </c>
      <c r="B97" s="9" t="s">
        <v>190</v>
      </c>
      <c r="C97" s="315"/>
      <c r="D97" s="180"/>
      <c r="E97" s="20">
        <v>0.12031168146814723</v>
      </c>
      <c r="F97" s="190">
        <v>0.61936017207100602</v>
      </c>
      <c r="G97" s="103">
        <v>0.13909703992351399</v>
      </c>
      <c r="H97" s="191">
        <v>0.8434122020529784</v>
      </c>
      <c r="I97" s="14"/>
      <c r="J97" s="180"/>
      <c r="K97" s="103">
        <v>3.2321746613756099</v>
      </c>
      <c r="L97" s="99">
        <v>0.661784286215363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214</v>
      </c>
      <c r="B99" s="73"/>
      <c r="C99" s="75" t="s">
        <v>205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1510.6517693298799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/>
      <c r="D101" s="266"/>
      <c r="E101" s="266">
        <v>218</v>
      </c>
      <c r="F101" s="266"/>
      <c r="G101" s="266">
        <v>166</v>
      </c>
      <c r="H101" s="266"/>
      <c r="I101" s="266"/>
      <c r="J101" s="266"/>
      <c r="K101" s="266">
        <v>30</v>
      </c>
      <c r="L101" s="266"/>
    </row>
    <row r="102" spans="1:17">
      <c r="A102" s="264" t="s">
        <v>234</v>
      </c>
      <c r="B102" s="265" t="s">
        <v>190</v>
      </c>
      <c r="C102" s="275"/>
      <c r="D102" s="275"/>
      <c r="E102" s="275">
        <v>4.1019999999999997E-3</v>
      </c>
      <c r="F102" s="275"/>
      <c r="G102" s="275">
        <v>4.0000000000000001E-3</v>
      </c>
      <c r="H102" s="275"/>
      <c r="I102" s="275"/>
      <c r="J102" s="275"/>
      <c r="K102" s="267">
        <v>6.9999999999999999E-4</v>
      </c>
      <c r="L102" s="275"/>
    </row>
    <row r="103" spans="1:17">
      <c r="A103" s="264" t="s">
        <v>235</v>
      </c>
      <c r="B103" s="265" t="s">
        <v>190</v>
      </c>
      <c r="C103" s="268"/>
      <c r="D103" s="268"/>
      <c r="E103" s="268">
        <v>4.102E-4</v>
      </c>
      <c r="F103" s="268"/>
      <c r="G103" s="268">
        <v>5.9999999999999995E-4</v>
      </c>
      <c r="H103" s="268"/>
      <c r="I103" s="268"/>
      <c r="J103" s="268"/>
      <c r="K103" s="268">
        <v>1E-4</v>
      </c>
      <c r="L103" s="268"/>
    </row>
  </sheetData>
  <mergeCells count="3">
    <mergeCell ref="D4:E4"/>
    <mergeCell ref="D5:E5"/>
    <mergeCell ref="C11:C9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10"/>
  <sheetViews>
    <sheetView zoomScale="70" zoomScaleNormal="70" workbookViewId="0">
      <pane xSplit="2" ySplit="9" topLeftCell="C11" activePane="bottomRight" state="frozen"/>
      <selection pane="topRight" activeCell="J20" sqref="J20"/>
      <selection pane="bottomLeft" activeCell="J20" sqref="J20"/>
      <selection pane="bottomRight" activeCell="E38" sqref="E38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37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05">
        <v>0.61543509958563303</v>
      </c>
      <c r="D4" s="316" t="s">
        <v>176</v>
      </c>
      <c r="E4" s="317"/>
      <c r="F4" s="22">
        <v>43020000</v>
      </c>
      <c r="G4" s="206"/>
      <c r="H4" s="207" t="s">
        <v>177</v>
      </c>
      <c r="I4" s="22">
        <v>772000</v>
      </c>
      <c r="J4" s="223"/>
      <c r="K4" s="204" t="s">
        <v>178</v>
      </c>
      <c r="L4" s="208">
        <f>I4/(I4+I5)</f>
        <v>0.70502283105022834</v>
      </c>
      <c r="Q4" s="44"/>
    </row>
    <row r="5" spans="1:17">
      <c r="A5" s="209"/>
      <c r="B5" s="210" t="s">
        <v>179</v>
      </c>
      <c r="C5" s="211">
        <v>0.50153384750147301</v>
      </c>
      <c r="D5" s="316" t="s">
        <v>207</v>
      </c>
      <c r="E5" s="317"/>
      <c r="F5" s="23">
        <v>10050000</v>
      </c>
      <c r="G5" s="212"/>
      <c r="H5" s="213" t="s">
        <v>181</v>
      </c>
      <c r="I5" s="106">
        <v>323000</v>
      </c>
      <c r="J5" s="224"/>
      <c r="K5" s="210" t="s">
        <v>178</v>
      </c>
      <c r="L5" s="214">
        <f>I5/(I4+I5)</f>
        <v>0.29497716894977166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>
        <f>E16*I25/10^6</f>
        <v>4.8715542821203153</v>
      </c>
      <c r="D9" s="221"/>
      <c r="E9" s="18">
        <v>1.9471874489626284</v>
      </c>
      <c r="F9" s="221" t="s">
        <v>208</v>
      </c>
      <c r="G9" s="4">
        <f>(C4*L4)+(C5*L5)</f>
        <v>0.58183683070601322</v>
      </c>
      <c r="H9" s="221" t="s">
        <v>188</v>
      </c>
      <c r="I9" s="5">
        <v>1</v>
      </c>
      <c r="J9" s="221" t="s">
        <v>188</v>
      </c>
      <c r="K9" s="5">
        <v>1</v>
      </c>
      <c r="L9" s="18" t="s">
        <v>188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 ht="15" customHeight="1">
      <c r="A11" s="46" t="s">
        <v>98</v>
      </c>
      <c r="B11" s="48" t="s">
        <v>189</v>
      </c>
      <c r="C11" s="7"/>
      <c r="D11" s="8"/>
      <c r="E11" s="7">
        <v>2904.83633351454</v>
      </c>
      <c r="F11" s="31">
        <v>0.46804395893463607</v>
      </c>
      <c r="G11" s="7"/>
      <c r="H11" s="8"/>
      <c r="I11" s="7">
        <v>8400.5372300862982</v>
      </c>
      <c r="J11" s="31">
        <v>1</v>
      </c>
      <c r="K11" s="7"/>
      <c r="L11" s="7"/>
    </row>
    <row r="12" spans="1:17">
      <c r="A12" s="46" t="s">
        <v>101</v>
      </c>
      <c r="B12" s="48" t="s">
        <v>189</v>
      </c>
      <c r="C12" s="7"/>
      <c r="D12" s="8"/>
      <c r="E12" s="7">
        <v>10.340960462173999</v>
      </c>
      <c r="F12" s="31">
        <v>0.46804395893463607</v>
      </c>
      <c r="G12" s="7"/>
      <c r="H12" s="8"/>
      <c r="I12" s="7">
        <v>2.0714306040657178</v>
      </c>
      <c r="J12" s="31">
        <v>0.57890926755251104</v>
      </c>
      <c r="K12" s="7"/>
      <c r="L12" s="7"/>
    </row>
    <row r="13" spans="1:17">
      <c r="A13" s="46" t="s">
        <v>102</v>
      </c>
      <c r="B13" s="48" t="s">
        <v>189</v>
      </c>
      <c r="C13" s="7"/>
      <c r="D13" s="8"/>
      <c r="E13" s="7">
        <v>559.62599999999998</v>
      </c>
      <c r="F13" s="31">
        <v>0.46804395893463607</v>
      </c>
      <c r="G13" s="7"/>
      <c r="H13" s="8"/>
      <c r="I13" s="7">
        <v>0</v>
      </c>
      <c r="J13" s="31">
        <v>1</v>
      </c>
      <c r="K13" s="7"/>
      <c r="L13" s="7"/>
    </row>
    <row r="14" spans="1:17">
      <c r="A14" s="90"/>
      <c r="B14" s="48"/>
      <c r="C14" s="10"/>
      <c r="D14" s="6"/>
      <c r="E14" s="10"/>
      <c r="F14" s="6"/>
      <c r="G14" s="10"/>
      <c r="H14" s="6"/>
      <c r="I14" s="10"/>
      <c r="J14" s="6"/>
      <c r="K14" s="10"/>
      <c r="L14" s="10"/>
    </row>
    <row r="15" spans="1:17">
      <c r="A15" s="45" t="s">
        <v>103</v>
      </c>
      <c r="B15" s="44"/>
      <c r="C15" s="10"/>
      <c r="D15" s="6"/>
      <c r="E15" s="10"/>
      <c r="F15" s="6"/>
      <c r="G15" s="10"/>
      <c r="H15" s="6"/>
      <c r="I15" s="10"/>
      <c r="J15" s="6"/>
      <c r="K15" s="10"/>
      <c r="L15" s="10"/>
    </row>
    <row r="16" spans="1:17">
      <c r="A16" s="47" t="s">
        <v>82</v>
      </c>
      <c r="B16" s="9" t="s">
        <v>190</v>
      </c>
      <c r="C16" s="10"/>
      <c r="D16" s="6"/>
      <c r="E16" s="7">
        <v>2512.6824144009133</v>
      </c>
      <c r="F16" s="31">
        <v>0.46804395893463607</v>
      </c>
      <c r="G16" s="10"/>
      <c r="H16" s="6"/>
      <c r="I16" s="10"/>
      <c r="J16" s="6"/>
      <c r="K16" s="10"/>
      <c r="L16" s="10"/>
    </row>
    <row r="17" spans="1:13">
      <c r="A17" s="47" t="s">
        <v>105</v>
      </c>
      <c r="B17" s="9" t="s">
        <v>190</v>
      </c>
      <c r="C17" s="10"/>
      <c r="D17" s="6"/>
      <c r="E17" s="7">
        <v>99.1476933906402</v>
      </c>
      <c r="F17" s="31">
        <v>0.46804395893463607</v>
      </c>
      <c r="G17" s="10"/>
      <c r="H17" s="6"/>
      <c r="I17" s="10"/>
      <c r="J17" s="6"/>
      <c r="K17" s="10"/>
      <c r="L17" s="10"/>
    </row>
    <row r="18" spans="1:13">
      <c r="A18" s="47" t="s">
        <v>106</v>
      </c>
      <c r="B18" s="9" t="s">
        <v>190</v>
      </c>
      <c r="C18" s="10"/>
      <c r="D18" s="6"/>
      <c r="E18" s="7">
        <v>14.1509702910796</v>
      </c>
      <c r="F18" s="31">
        <v>0.46804395893463607</v>
      </c>
      <c r="G18" s="10"/>
      <c r="H18" s="6"/>
      <c r="I18" s="10"/>
      <c r="J18" s="6"/>
      <c r="K18" s="10"/>
      <c r="L18" s="10"/>
    </row>
    <row r="19" spans="1:13">
      <c r="A19" s="47" t="s">
        <v>107</v>
      </c>
      <c r="B19" s="9" t="s">
        <v>191</v>
      </c>
      <c r="C19" s="10">
        <v>1.0353373592948001</v>
      </c>
      <c r="D19" s="31">
        <v>0.24753294746629476</v>
      </c>
      <c r="E19" s="7">
        <v>2.7548617738159198</v>
      </c>
      <c r="F19" s="31">
        <v>0.46804395893463607</v>
      </c>
      <c r="G19" s="10">
        <v>6.4898190962926913E-2</v>
      </c>
      <c r="H19" s="31">
        <v>0.23217920184767699</v>
      </c>
      <c r="I19" s="7">
        <v>1.3494422266019528</v>
      </c>
      <c r="J19" s="31">
        <v>1</v>
      </c>
      <c r="K19" s="17">
        <v>4.3455935982123002</v>
      </c>
      <c r="L19" s="91">
        <v>0.31571872146118724</v>
      </c>
    </row>
    <row r="20" spans="1:13">
      <c r="A20" s="47" t="s">
        <v>109</v>
      </c>
      <c r="B20" s="9" t="s">
        <v>191</v>
      </c>
      <c r="C20" s="7">
        <v>0</v>
      </c>
      <c r="D20" s="31">
        <v>3.4931845653184565E-2</v>
      </c>
      <c r="E20" s="7">
        <v>0</v>
      </c>
      <c r="F20" s="31">
        <v>0.10748191350937619</v>
      </c>
      <c r="G20" s="7">
        <v>0</v>
      </c>
      <c r="H20" s="31">
        <v>0.23217920184767699</v>
      </c>
      <c r="I20" s="7">
        <v>0</v>
      </c>
      <c r="J20" s="31">
        <v>0.29497716894977166</v>
      </c>
      <c r="K20" s="7">
        <v>0</v>
      </c>
      <c r="L20" s="91">
        <v>0.31571872146118724</v>
      </c>
    </row>
    <row r="21" spans="1:13">
      <c r="A21" s="47" t="s">
        <v>192</v>
      </c>
      <c r="B21" s="9" t="s">
        <v>190</v>
      </c>
      <c r="C21" s="7"/>
      <c r="D21" s="8"/>
      <c r="E21" s="7"/>
      <c r="F21" s="8"/>
      <c r="G21" s="7">
        <v>871.42209810837005</v>
      </c>
      <c r="H21" s="31">
        <v>1</v>
      </c>
      <c r="I21" s="7"/>
      <c r="J21" s="8"/>
      <c r="K21" s="10"/>
      <c r="L21" s="10"/>
    </row>
    <row r="22" spans="1:13">
      <c r="A22" s="47" t="s">
        <v>110</v>
      </c>
      <c r="B22" s="9" t="s">
        <v>190</v>
      </c>
      <c r="C22" s="7"/>
      <c r="D22" s="237"/>
      <c r="E22" s="7"/>
      <c r="F22" s="8"/>
      <c r="G22" s="7">
        <v>191.1613706247058</v>
      </c>
      <c r="H22" s="31">
        <v>1</v>
      </c>
      <c r="I22" s="7"/>
      <c r="J22" s="8"/>
      <c r="K22" s="10"/>
      <c r="L22" s="10"/>
    </row>
    <row r="23" spans="1:13">
      <c r="A23" s="47" t="s">
        <v>111</v>
      </c>
      <c r="B23" s="9" t="s">
        <v>190</v>
      </c>
      <c r="C23" s="7"/>
      <c r="D23" s="8"/>
      <c r="E23" s="7"/>
      <c r="F23" s="8"/>
      <c r="G23" s="17">
        <v>0.75141055808616875</v>
      </c>
      <c r="H23" s="31">
        <v>0.5544164474503509</v>
      </c>
      <c r="I23" s="7">
        <v>6.4266504219454417</v>
      </c>
      <c r="J23" s="31">
        <v>0.57890926755251104</v>
      </c>
      <c r="K23" s="10"/>
      <c r="L23" s="10"/>
    </row>
    <row r="24" spans="1:13">
      <c r="A24" s="47" t="s">
        <v>112</v>
      </c>
      <c r="B24" s="9" t="s">
        <v>190</v>
      </c>
      <c r="C24" s="7"/>
      <c r="D24" s="8"/>
      <c r="E24" s="7"/>
      <c r="F24" s="8"/>
      <c r="G24" s="17">
        <v>0.93621694962177471</v>
      </c>
      <c r="H24" s="31">
        <v>0.5544164474503509</v>
      </c>
      <c r="I24" s="7">
        <v>5.9857803951599644</v>
      </c>
      <c r="J24" s="31">
        <v>0.57890926755251104</v>
      </c>
      <c r="K24" s="10"/>
      <c r="L24" s="10"/>
    </row>
    <row r="25" spans="1:13">
      <c r="A25" s="47" t="s">
        <v>83</v>
      </c>
      <c r="B25" s="9" t="s">
        <v>190</v>
      </c>
      <c r="C25" s="7"/>
      <c r="D25" s="8"/>
      <c r="E25" s="7"/>
      <c r="F25" s="8"/>
      <c r="G25" s="10"/>
      <c r="H25" s="6"/>
      <c r="I25" s="7">
        <v>1938.7863162491296</v>
      </c>
      <c r="J25" s="31">
        <v>1</v>
      </c>
      <c r="K25" s="10"/>
      <c r="L25" s="10"/>
    </row>
    <row r="26" spans="1:13">
      <c r="A26" s="47" t="s">
        <v>193</v>
      </c>
      <c r="B26" s="9" t="s">
        <v>190</v>
      </c>
      <c r="C26" s="7"/>
      <c r="D26" s="8"/>
      <c r="E26" s="7"/>
      <c r="F26" s="8"/>
      <c r="G26" s="10"/>
      <c r="H26" s="6"/>
      <c r="I26" s="7">
        <f>(C4*L4+C5*L5)*1000</f>
        <v>581.83683070601319</v>
      </c>
      <c r="J26" s="31">
        <v>1</v>
      </c>
      <c r="K26" s="10"/>
      <c r="L26" s="10"/>
    </row>
    <row r="27" spans="1:13">
      <c r="A27" s="47" t="s">
        <v>113</v>
      </c>
      <c r="B27" s="9" t="s">
        <v>190</v>
      </c>
      <c r="C27" s="7"/>
      <c r="D27" s="8"/>
      <c r="E27" s="7"/>
      <c r="F27" s="8"/>
      <c r="G27" s="10"/>
      <c r="H27" s="6"/>
      <c r="I27" s="7">
        <v>5.9807861619403839</v>
      </c>
      <c r="J27" s="31">
        <v>1</v>
      </c>
      <c r="K27" s="10"/>
      <c r="L27" s="10"/>
    </row>
    <row r="28" spans="1:13">
      <c r="A28" s="47" t="s">
        <v>114</v>
      </c>
      <c r="B28" s="9" t="s">
        <v>190</v>
      </c>
      <c r="C28" s="7"/>
      <c r="D28" s="8"/>
      <c r="E28" s="7"/>
      <c r="F28" s="8"/>
      <c r="G28" s="12"/>
      <c r="H28" s="6"/>
      <c r="I28" s="7">
        <v>20.454727448487731</v>
      </c>
      <c r="J28" s="31">
        <v>1</v>
      </c>
      <c r="K28" s="10"/>
      <c r="L28" s="10"/>
    </row>
    <row r="29" spans="1:13">
      <c r="A29" s="47" t="s">
        <v>115</v>
      </c>
      <c r="B29" s="9" t="s">
        <v>190</v>
      </c>
      <c r="C29" s="7"/>
      <c r="D29" s="8"/>
      <c r="E29" s="7"/>
      <c r="F29" s="8"/>
      <c r="G29" s="10"/>
      <c r="H29" s="6"/>
      <c r="I29" s="10"/>
      <c r="J29" s="6"/>
      <c r="K29" s="7">
        <v>1000</v>
      </c>
      <c r="L29" s="91">
        <v>0.93845810045662104</v>
      </c>
    </row>
    <row r="30" spans="1:13">
      <c r="A30" s="47" t="s">
        <v>116</v>
      </c>
      <c r="B30" s="9" t="s">
        <v>190</v>
      </c>
      <c r="C30" s="7"/>
      <c r="D30" s="8"/>
      <c r="E30" s="7"/>
      <c r="F30" s="8"/>
      <c r="G30" s="10"/>
      <c r="H30" s="6"/>
      <c r="I30" s="10"/>
      <c r="J30" s="6"/>
      <c r="K30" s="7">
        <v>30.681190619212039</v>
      </c>
      <c r="L30" s="91">
        <v>1</v>
      </c>
    </row>
    <row r="31" spans="1:13">
      <c r="A31" s="47" t="s">
        <v>117</v>
      </c>
      <c r="B31" s="9" t="s">
        <v>190</v>
      </c>
      <c r="C31" s="7"/>
      <c r="D31" s="8"/>
      <c r="E31" s="7"/>
      <c r="F31" s="8"/>
      <c r="G31" s="10"/>
      <c r="H31" s="6"/>
      <c r="I31" s="10"/>
      <c r="J31" s="6"/>
      <c r="K31" s="11">
        <v>9.4667875229167836E-3</v>
      </c>
      <c r="L31" s="91">
        <v>1</v>
      </c>
    </row>
    <row r="32" spans="1:13">
      <c r="A32" s="47" t="s">
        <v>118</v>
      </c>
      <c r="B32" s="9" t="s">
        <v>190</v>
      </c>
      <c r="C32" s="7"/>
      <c r="D32" s="8"/>
      <c r="E32" s="7"/>
      <c r="F32" s="8"/>
      <c r="G32" s="10"/>
      <c r="H32" s="6"/>
      <c r="I32" s="10"/>
      <c r="J32" s="6"/>
      <c r="K32" s="17">
        <v>8.3735964416075573E-2</v>
      </c>
      <c r="L32" s="91">
        <v>1</v>
      </c>
      <c r="M32" s="179"/>
    </row>
    <row r="33" spans="1:13">
      <c r="A33" s="47" t="s">
        <v>119</v>
      </c>
      <c r="B33" s="9" t="s">
        <v>190</v>
      </c>
      <c r="C33" s="7"/>
      <c r="D33" s="8"/>
      <c r="E33" s="7"/>
      <c r="F33" s="8"/>
      <c r="G33" s="10"/>
      <c r="H33" s="6"/>
      <c r="I33" s="10"/>
      <c r="J33" s="6"/>
      <c r="K33" s="12">
        <v>1.9480406152601142E-4</v>
      </c>
      <c r="L33" s="91">
        <v>0.93845810045662104</v>
      </c>
      <c r="M33" s="179"/>
    </row>
    <row r="34" spans="1:13" ht="18.75" customHeight="1">
      <c r="A34" s="47"/>
      <c r="B34" s="9"/>
      <c r="C34" s="7"/>
      <c r="D34" s="8"/>
      <c r="E34" s="7"/>
      <c r="F34" s="8"/>
      <c r="G34" s="10"/>
      <c r="H34" s="6"/>
      <c r="I34" s="10"/>
      <c r="J34" s="6"/>
      <c r="K34" s="10"/>
      <c r="L34" s="91"/>
    </row>
    <row r="35" spans="1:13">
      <c r="A35" s="34" t="s">
        <v>120</v>
      </c>
      <c r="B35" s="9"/>
      <c r="C35" s="182"/>
      <c r="D35" s="183"/>
      <c r="E35" s="186"/>
      <c r="F35" s="187"/>
      <c r="G35" s="186"/>
      <c r="H35" s="187"/>
      <c r="I35" s="186"/>
      <c r="J35" s="187"/>
      <c r="K35" s="227"/>
      <c r="L35" s="227"/>
    </row>
    <row r="36" spans="1:13" s="25" customFormat="1">
      <c r="A36" s="92" t="s">
        <v>121</v>
      </c>
      <c r="B36" s="93" t="s">
        <v>191</v>
      </c>
      <c r="C36" s="17">
        <v>1.1683075732237647</v>
      </c>
      <c r="D36" s="98">
        <v>0.24753294746629476</v>
      </c>
      <c r="E36" s="7">
        <v>2.1580058716915409</v>
      </c>
      <c r="F36" s="98">
        <v>0.46804395893463607</v>
      </c>
      <c r="G36" s="10">
        <v>6.4898190962926913E-2</v>
      </c>
      <c r="H36" s="98">
        <v>0.23217920184767699</v>
      </c>
      <c r="I36" s="17">
        <v>1.3460323044040885</v>
      </c>
      <c r="J36" s="31">
        <v>1</v>
      </c>
      <c r="K36" s="17">
        <v>1.1204163024192924</v>
      </c>
      <c r="L36" s="171">
        <v>0.31571872146118724</v>
      </c>
    </row>
    <row r="37" spans="1:13" s="25" customFormat="1">
      <c r="A37" s="92" t="s">
        <v>122</v>
      </c>
      <c r="B37" s="93" t="s">
        <v>191</v>
      </c>
      <c r="C37" s="7">
        <v>0</v>
      </c>
      <c r="D37" s="98">
        <v>3.4931845653184565E-2</v>
      </c>
      <c r="E37" s="7">
        <v>0</v>
      </c>
      <c r="F37" s="98">
        <v>0.10748191350937619</v>
      </c>
      <c r="G37" s="7">
        <v>0</v>
      </c>
      <c r="H37" s="98">
        <v>0.23217920184767699</v>
      </c>
      <c r="I37" s="7">
        <v>0</v>
      </c>
      <c r="J37" s="31">
        <v>0.29497716894977166</v>
      </c>
      <c r="K37" s="7">
        <v>0</v>
      </c>
      <c r="L37" s="171">
        <v>0.31571872146118724</v>
      </c>
    </row>
    <row r="38" spans="1:13">
      <c r="A38" s="47" t="s">
        <v>123</v>
      </c>
      <c r="B38" s="9" t="s">
        <v>210</v>
      </c>
      <c r="C38" s="284">
        <v>0.51350460011288745</v>
      </c>
      <c r="D38" s="98">
        <v>0.16694605764760578</v>
      </c>
      <c r="E38" s="286">
        <v>0.75048440882110901</v>
      </c>
      <c r="F38" s="98">
        <v>1</v>
      </c>
      <c r="G38" s="17"/>
      <c r="H38" s="98"/>
      <c r="I38" s="17"/>
      <c r="J38" s="98"/>
      <c r="K38" s="17"/>
      <c r="L38" s="171"/>
    </row>
    <row r="39" spans="1:13">
      <c r="A39" s="47" t="s">
        <v>194</v>
      </c>
      <c r="B39" s="9" t="s">
        <v>195</v>
      </c>
      <c r="C39" s="238" t="s">
        <v>227</v>
      </c>
      <c r="D39" s="98">
        <v>0.30112684269356604</v>
      </c>
      <c r="E39" s="17" t="s">
        <v>229</v>
      </c>
      <c r="F39" s="98">
        <v>0.90169839624945614</v>
      </c>
      <c r="G39" s="184"/>
      <c r="H39" s="185"/>
      <c r="I39" s="184"/>
      <c r="J39" s="185"/>
      <c r="K39" s="184"/>
      <c r="L39" s="228"/>
    </row>
    <row r="40" spans="1:13">
      <c r="A40" s="47" t="s">
        <v>197</v>
      </c>
      <c r="B40" s="9" t="s">
        <v>195</v>
      </c>
      <c r="C40" s="7" t="s">
        <v>198</v>
      </c>
      <c r="D40" s="98">
        <v>0.17072009242093786</v>
      </c>
      <c r="E40" s="241" t="s">
        <v>228</v>
      </c>
      <c r="F40" s="98">
        <v>1</v>
      </c>
      <c r="G40" s="184"/>
      <c r="H40" s="185"/>
      <c r="I40" s="184"/>
      <c r="J40" s="185"/>
      <c r="K40" s="184"/>
      <c r="L40" s="228"/>
    </row>
    <row r="41" spans="1:13">
      <c r="A41" s="47" t="s">
        <v>199</v>
      </c>
      <c r="B41" s="9" t="s">
        <v>200</v>
      </c>
      <c r="C41" s="281">
        <v>9.4865598688729742E-7</v>
      </c>
      <c r="D41" s="98">
        <v>0.14701853556485356</v>
      </c>
      <c r="E41" s="13">
        <v>4.0959724575889358E-6</v>
      </c>
      <c r="F41" s="98">
        <v>1</v>
      </c>
      <c r="G41" s="17"/>
      <c r="H41" s="98"/>
      <c r="I41" s="17"/>
      <c r="J41" s="98"/>
      <c r="K41" s="17"/>
      <c r="L41" s="171"/>
    </row>
    <row r="42" spans="1:13">
      <c r="A42" s="47"/>
      <c r="B42" s="9"/>
      <c r="C42" s="186"/>
      <c r="D42" s="187"/>
      <c r="E42" s="186"/>
      <c r="F42" s="187"/>
      <c r="G42" s="186"/>
      <c r="H42" s="187"/>
      <c r="I42" s="186"/>
      <c r="J42" s="187"/>
      <c r="K42" s="186"/>
      <c r="L42" s="186"/>
    </row>
    <row r="43" spans="1:13">
      <c r="A43" s="45" t="s">
        <v>130</v>
      </c>
      <c r="B43" s="44"/>
      <c r="C43" s="186"/>
      <c r="D43" s="187"/>
      <c r="E43" s="186"/>
      <c r="F43" s="187"/>
      <c r="G43" s="186"/>
      <c r="H43" s="187"/>
      <c r="I43" s="186"/>
      <c r="J43" s="187"/>
      <c r="K43" s="186"/>
      <c r="L43" s="186"/>
    </row>
    <row r="44" spans="1:13">
      <c r="A44" s="47" t="s">
        <v>131</v>
      </c>
      <c r="B44" s="9" t="s">
        <v>201</v>
      </c>
      <c r="C44" s="17">
        <v>19.872003153803099</v>
      </c>
      <c r="D44" s="98">
        <v>0.30879545420734539</v>
      </c>
      <c r="E44" s="7">
        <v>4482.8121579574627</v>
      </c>
      <c r="F44" s="98">
        <v>0.91083223019934156</v>
      </c>
      <c r="G44" s="7">
        <v>1018.3606774595553</v>
      </c>
      <c r="H44" s="98">
        <v>1</v>
      </c>
      <c r="I44" s="186"/>
      <c r="J44" s="187"/>
      <c r="K44" s="7">
        <v>0</v>
      </c>
      <c r="L44" s="171">
        <v>1</v>
      </c>
    </row>
    <row r="45" spans="1:13">
      <c r="A45" s="47" t="s">
        <v>133</v>
      </c>
      <c r="B45" s="9" t="s">
        <v>201</v>
      </c>
      <c r="C45" s="17">
        <v>164.83149117658999</v>
      </c>
      <c r="D45" s="98">
        <v>0.32155134449093442</v>
      </c>
      <c r="E45" s="7">
        <v>5.3720493996270466</v>
      </c>
      <c r="F45" s="98">
        <v>0.91083223019934156</v>
      </c>
      <c r="G45" s="7">
        <v>0</v>
      </c>
      <c r="H45" s="98">
        <v>1</v>
      </c>
      <c r="I45" s="186"/>
      <c r="J45" s="187"/>
      <c r="K45" s="7">
        <v>4.9207353133146743</v>
      </c>
      <c r="L45" s="171">
        <v>1</v>
      </c>
    </row>
    <row r="46" spans="1:13">
      <c r="A46" s="47" t="s">
        <v>134</v>
      </c>
      <c r="B46" s="9" t="s">
        <v>201</v>
      </c>
      <c r="C46" s="7">
        <v>0</v>
      </c>
      <c r="D46" s="98">
        <v>0.30879545420734539</v>
      </c>
      <c r="E46" s="7">
        <v>616.75407214583754</v>
      </c>
      <c r="F46" s="98">
        <v>0.91083223019934156</v>
      </c>
      <c r="G46" s="7">
        <v>1155.5579040564453</v>
      </c>
      <c r="H46" s="98">
        <v>1</v>
      </c>
      <c r="I46" s="186"/>
      <c r="J46" s="187"/>
      <c r="K46" s="7">
        <v>985.28453214474916</v>
      </c>
      <c r="L46" s="171">
        <v>1</v>
      </c>
    </row>
    <row r="47" spans="1:13">
      <c r="A47" s="47" t="s">
        <v>135</v>
      </c>
      <c r="B47" s="9" t="s">
        <v>201</v>
      </c>
      <c r="C47" s="7">
        <v>0</v>
      </c>
      <c r="D47" s="98">
        <v>0.23477705718270572</v>
      </c>
      <c r="E47" s="7">
        <v>2907.4007756924798</v>
      </c>
      <c r="F47" s="98">
        <v>0.91083223019934156</v>
      </c>
      <c r="G47" s="7">
        <v>0</v>
      </c>
      <c r="H47" s="98">
        <v>1</v>
      </c>
      <c r="I47" s="186"/>
      <c r="J47" s="187"/>
      <c r="K47" s="7">
        <v>0</v>
      </c>
      <c r="L47" s="171">
        <v>1</v>
      </c>
    </row>
    <row r="48" spans="1:13">
      <c r="A48" s="47" t="s">
        <v>136</v>
      </c>
      <c r="B48" s="9" t="s">
        <v>201</v>
      </c>
      <c r="C48" s="17">
        <v>3.8295152588990402</v>
      </c>
      <c r="D48" s="98">
        <v>0.30879545420734539</v>
      </c>
      <c r="E48" s="7">
        <v>399.43685543820789</v>
      </c>
      <c r="F48" s="98">
        <v>0.91083223019934156</v>
      </c>
      <c r="G48" s="7">
        <v>545.19720196243816</v>
      </c>
      <c r="H48" s="98">
        <v>1</v>
      </c>
      <c r="I48" s="7">
        <v>55834.993664547117</v>
      </c>
      <c r="J48" s="98">
        <v>1</v>
      </c>
      <c r="K48" s="7">
        <v>400.47556938112666</v>
      </c>
      <c r="L48" s="171">
        <v>1</v>
      </c>
    </row>
    <row r="49" spans="1:12">
      <c r="A49" s="47" t="s">
        <v>137</v>
      </c>
      <c r="B49" s="9" t="s">
        <v>201</v>
      </c>
      <c r="C49" s="11"/>
      <c r="D49" s="98"/>
      <c r="E49" s="7">
        <v>0</v>
      </c>
      <c r="F49" s="98">
        <v>0.91083223019934156</v>
      </c>
      <c r="G49" s="7">
        <v>0</v>
      </c>
      <c r="H49" s="98">
        <v>1</v>
      </c>
      <c r="I49" s="186"/>
      <c r="J49" s="187"/>
      <c r="K49" s="7">
        <v>38.959232974692</v>
      </c>
      <c r="L49" s="171">
        <v>1</v>
      </c>
    </row>
    <row r="50" spans="1:12">
      <c r="A50" s="47"/>
      <c r="B50" s="9"/>
      <c r="C50" s="10"/>
      <c r="D50" s="6"/>
      <c r="E50" s="10"/>
      <c r="F50" s="6"/>
      <c r="G50" s="10"/>
      <c r="H50" s="6"/>
      <c r="I50" s="10"/>
      <c r="J50" s="6"/>
      <c r="K50" s="10"/>
      <c r="L50" s="10"/>
    </row>
    <row r="51" spans="1:12">
      <c r="A51" s="45" t="s">
        <v>138</v>
      </c>
      <c r="B51" s="44"/>
      <c r="C51" s="10"/>
      <c r="D51" s="6"/>
      <c r="E51" s="10"/>
      <c r="F51" s="6"/>
      <c r="G51" s="10"/>
      <c r="H51" s="6"/>
      <c r="I51" s="10"/>
      <c r="J51" s="6"/>
      <c r="K51" s="10"/>
      <c r="L51" s="10"/>
    </row>
    <row r="52" spans="1:12">
      <c r="A52" s="47" t="s">
        <v>139</v>
      </c>
      <c r="B52" s="9" t="s">
        <v>190</v>
      </c>
      <c r="C52" s="11">
        <v>6.9504200400213499E-4</v>
      </c>
      <c r="D52" s="31">
        <v>0.23477705718270572</v>
      </c>
      <c r="E52" s="17">
        <v>0.115812539493979</v>
      </c>
      <c r="F52" s="31">
        <v>0.46804395893463607</v>
      </c>
      <c r="G52" s="17">
        <v>6.1615575698273771E-2</v>
      </c>
      <c r="H52" s="98">
        <v>1</v>
      </c>
      <c r="I52" s="7">
        <v>1.9711344632849142</v>
      </c>
      <c r="J52" s="31">
        <v>1</v>
      </c>
      <c r="K52" s="10">
        <v>1.9164304316126556E-2</v>
      </c>
      <c r="L52" s="91">
        <v>1</v>
      </c>
    </row>
    <row r="53" spans="1:12">
      <c r="A53" s="47" t="s">
        <v>140</v>
      </c>
      <c r="B53" s="9" t="s">
        <v>190</v>
      </c>
      <c r="C53" s="12">
        <v>6.1187458471982821E-4</v>
      </c>
      <c r="D53" s="31">
        <v>0.23477705718270572</v>
      </c>
      <c r="E53" s="17">
        <v>1.8251591758872778</v>
      </c>
      <c r="F53" s="31">
        <v>0.46804395893463607</v>
      </c>
      <c r="G53" s="17">
        <v>0.87723000044249444</v>
      </c>
      <c r="H53" s="98">
        <v>1</v>
      </c>
      <c r="I53" s="17">
        <v>11.058853715140776</v>
      </c>
      <c r="J53" s="31">
        <v>0.69875913958904112</v>
      </c>
      <c r="K53" s="10">
        <v>1.7519927800232499E-2</v>
      </c>
      <c r="L53" s="91">
        <v>1</v>
      </c>
    </row>
    <row r="54" spans="1:12" ht="17">
      <c r="A54" s="47" t="s">
        <v>141</v>
      </c>
      <c r="B54" s="9" t="s">
        <v>190</v>
      </c>
      <c r="C54" s="10">
        <v>0.10297042041037026</v>
      </c>
      <c r="D54" s="31">
        <v>0.22608082287308229</v>
      </c>
      <c r="E54" s="17">
        <v>1.010093496944384</v>
      </c>
      <c r="F54" s="31">
        <v>0.46804395893463607</v>
      </c>
      <c r="G54" s="17">
        <v>0.67357052570029841</v>
      </c>
      <c r="H54" s="31">
        <v>0.65104791064599343</v>
      </c>
      <c r="I54" s="17" t="s">
        <v>100</v>
      </c>
      <c r="J54" s="31"/>
      <c r="K54" s="10">
        <v>0.14586738905127233</v>
      </c>
      <c r="L54" s="91">
        <v>1</v>
      </c>
    </row>
    <row r="55" spans="1:12">
      <c r="A55" s="47" t="s">
        <v>142</v>
      </c>
      <c r="B55" s="9" t="s">
        <v>202</v>
      </c>
      <c r="C55" s="10"/>
      <c r="D55" s="6"/>
      <c r="E55" s="10">
        <v>0.12009762671894</v>
      </c>
      <c r="F55" s="31">
        <v>0.34871414563038811</v>
      </c>
      <c r="G55" s="17"/>
      <c r="H55" s="29"/>
      <c r="I55" s="10"/>
      <c r="J55" s="6"/>
      <c r="K55" s="10"/>
      <c r="L55" s="10"/>
    </row>
    <row r="56" spans="1:12">
      <c r="A56" s="47" t="s">
        <v>219</v>
      </c>
      <c r="B56" s="9" t="s">
        <v>202</v>
      </c>
      <c r="C56" s="10"/>
      <c r="D56" s="6"/>
      <c r="E56" s="11">
        <v>3.9947757879233367E-3</v>
      </c>
      <c r="F56" s="31">
        <v>0.34871414563038811</v>
      </c>
      <c r="G56" s="7">
        <v>0</v>
      </c>
      <c r="H56" s="31">
        <v>0.5544164474503509</v>
      </c>
      <c r="I56" s="11">
        <v>3.2635290942219209E-3</v>
      </c>
      <c r="J56" s="31">
        <v>1</v>
      </c>
      <c r="K56" s="10"/>
      <c r="L56" s="10"/>
    </row>
    <row r="57" spans="1:12">
      <c r="A57" s="47" t="s">
        <v>145</v>
      </c>
      <c r="B57" s="9" t="s">
        <v>190</v>
      </c>
      <c r="C57" s="10"/>
      <c r="D57" s="6"/>
      <c r="E57" s="7"/>
      <c r="F57" s="8"/>
      <c r="G57" s="11">
        <v>6.3821948336895348E-3</v>
      </c>
      <c r="H57" s="98">
        <v>1</v>
      </c>
      <c r="I57" s="17">
        <v>0.31834193047434045</v>
      </c>
      <c r="J57" s="31">
        <v>1</v>
      </c>
      <c r="K57" s="10"/>
      <c r="L57" s="10"/>
    </row>
    <row r="58" spans="1:12">
      <c r="A58" s="47" t="s">
        <v>146</v>
      </c>
      <c r="B58" s="9" t="s">
        <v>190</v>
      </c>
      <c r="C58" s="10"/>
      <c r="D58" s="6"/>
      <c r="E58" s="7"/>
      <c r="F58" s="8"/>
      <c r="G58" s="10">
        <v>1.1023469203874205E-2</v>
      </c>
      <c r="H58" s="98">
        <v>1</v>
      </c>
      <c r="I58" s="17">
        <v>0.45922475860268142</v>
      </c>
      <c r="J58" s="31">
        <v>1</v>
      </c>
      <c r="K58" s="10"/>
      <c r="L58" s="10"/>
    </row>
    <row r="59" spans="1:12">
      <c r="A59" s="47" t="s">
        <v>147</v>
      </c>
      <c r="B59" s="9" t="s">
        <v>190</v>
      </c>
      <c r="C59" s="10"/>
      <c r="D59" s="6"/>
      <c r="E59" s="7"/>
      <c r="F59" s="8"/>
      <c r="G59" s="11">
        <v>2.5796318005543348E-3</v>
      </c>
      <c r="H59" s="31">
        <v>0.65104791064599343</v>
      </c>
      <c r="I59" s="17" t="s">
        <v>100</v>
      </c>
      <c r="J59" s="31"/>
      <c r="K59" s="10"/>
      <c r="L59" s="10"/>
    </row>
    <row r="60" spans="1:12">
      <c r="A60" s="47" t="s">
        <v>148</v>
      </c>
      <c r="B60" s="9" t="s">
        <v>202</v>
      </c>
      <c r="C60" s="10"/>
      <c r="D60" s="6"/>
      <c r="E60" s="7"/>
      <c r="F60" s="8"/>
      <c r="G60" s="7">
        <v>0</v>
      </c>
      <c r="H60" s="31">
        <v>0.23217920184767699</v>
      </c>
      <c r="I60" s="17" t="s">
        <v>100</v>
      </c>
      <c r="J60" s="31"/>
      <c r="K60" s="10"/>
      <c r="L60" s="10"/>
    </row>
    <row r="61" spans="1:12">
      <c r="A61" s="47" t="s">
        <v>149</v>
      </c>
      <c r="B61" s="9" t="s">
        <v>190</v>
      </c>
      <c r="C61" s="10"/>
      <c r="D61" s="6"/>
      <c r="E61" s="7"/>
      <c r="F61" s="8"/>
      <c r="G61" s="17"/>
      <c r="H61" s="29"/>
      <c r="I61" s="10">
        <v>4.6384768393952447E-2</v>
      </c>
      <c r="J61" s="98">
        <v>0.9959781581161703</v>
      </c>
      <c r="K61" s="10"/>
      <c r="L61" s="10"/>
    </row>
    <row r="62" spans="1:12">
      <c r="A62" s="47" t="s">
        <v>150</v>
      </c>
      <c r="B62" s="9" t="s">
        <v>190</v>
      </c>
      <c r="C62" s="10"/>
      <c r="D62" s="6"/>
      <c r="E62" s="7"/>
      <c r="F62" s="8"/>
      <c r="G62" s="17"/>
      <c r="H62" s="29"/>
      <c r="I62" s="11">
        <v>2.8770545115330347E-3</v>
      </c>
      <c r="J62" s="98">
        <v>0.9959781581161703</v>
      </c>
      <c r="K62" s="10"/>
      <c r="L62" s="10"/>
    </row>
    <row r="63" spans="1:12">
      <c r="A63" s="47" t="s">
        <v>151</v>
      </c>
      <c r="B63" s="9" t="s">
        <v>190</v>
      </c>
      <c r="C63" s="10"/>
      <c r="D63" s="6"/>
      <c r="E63" s="7"/>
      <c r="F63" s="8"/>
      <c r="G63" s="17"/>
      <c r="H63" s="29"/>
      <c r="I63" s="10"/>
      <c r="J63" s="6"/>
      <c r="K63" s="11">
        <v>1.0032008713381686E-3</v>
      </c>
      <c r="L63" s="91">
        <v>0.75370228310502285</v>
      </c>
    </row>
    <row r="64" spans="1:12">
      <c r="A64" s="47" t="s">
        <v>203</v>
      </c>
      <c r="B64" s="9" t="s">
        <v>190</v>
      </c>
      <c r="C64" s="10"/>
      <c r="D64" s="6"/>
      <c r="E64" s="7"/>
      <c r="F64" s="8"/>
      <c r="G64" s="17"/>
      <c r="H64" s="29"/>
      <c r="I64" s="10"/>
      <c r="J64" s="6"/>
      <c r="K64" s="7">
        <v>0</v>
      </c>
      <c r="L64" s="91">
        <v>0.31571872146118724</v>
      </c>
    </row>
    <row r="65" spans="1:12">
      <c r="A65" s="47"/>
      <c r="B65" s="9"/>
      <c r="C65" s="10"/>
      <c r="D65" s="6"/>
      <c r="E65" s="7"/>
      <c r="F65" s="8"/>
      <c r="G65" s="17"/>
      <c r="H65" s="29"/>
      <c r="I65" s="10"/>
      <c r="J65" s="6"/>
      <c r="K65" s="13"/>
      <c r="L65" s="13"/>
    </row>
    <row r="66" spans="1:12">
      <c r="A66" s="45" t="s">
        <v>152</v>
      </c>
      <c r="B66" s="44"/>
      <c r="C66" s="10"/>
      <c r="D66" s="6"/>
      <c r="E66" s="7"/>
      <c r="F66" s="8"/>
      <c r="G66" s="7"/>
      <c r="H66" s="29"/>
      <c r="I66" s="10"/>
      <c r="J66" s="6"/>
      <c r="K66" s="10"/>
      <c r="L66" s="10"/>
    </row>
    <row r="67" spans="1:12">
      <c r="A67" s="47" t="s">
        <v>107</v>
      </c>
      <c r="B67" s="9" t="s">
        <v>191</v>
      </c>
      <c r="C67" s="17">
        <v>0.315504515345642</v>
      </c>
      <c r="D67" s="33">
        <v>0.20854144583914458</v>
      </c>
      <c r="E67" s="7">
        <v>0.94483929189683402</v>
      </c>
      <c r="F67" s="31">
        <v>0.46804395893463607</v>
      </c>
      <c r="G67" s="7">
        <v>0</v>
      </c>
      <c r="H67" s="31">
        <v>0.23217920184767699</v>
      </c>
      <c r="I67" s="7">
        <v>0</v>
      </c>
      <c r="J67" s="31">
        <v>1</v>
      </c>
      <c r="K67" s="7">
        <v>3.3139829609819937</v>
      </c>
      <c r="L67" s="91">
        <v>0.31571872146118724</v>
      </c>
    </row>
    <row r="68" spans="1:12">
      <c r="A68" s="47" t="s">
        <v>109</v>
      </c>
      <c r="B68" s="9" t="s">
        <v>191</v>
      </c>
      <c r="C68" s="7">
        <v>0</v>
      </c>
      <c r="D68" s="188">
        <v>3.4931845653184565E-2</v>
      </c>
      <c r="E68" s="7">
        <v>0</v>
      </c>
      <c r="F68" s="98">
        <v>0.10748191350937619</v>
      </c>
      <c r="G68" s="7">
        <v>0</v>
      </c>
      <c r="H68" s="31">
        <v>0.23217920184767699</v>
      </c>
      <c r="I68" s="7">
        <v>0</v>
      </c>
      <c r="J68" s="31">
        <v>0.29497716894977166</v>
      </c>
      <c r="K68" s="7">
        <v>0</v>
      </c>
      <c r="L68" s="91">
        <v>0.31571872146118724</v>
      </c>
    </row>
    <row r="69" spans="1:12">
      <c r="A69" s="47" t="s">
        <v>153</v>
      </c>
      <c r="B69" s="9" t="s">
        <v>190</v>
      </c>
      <c r="C69" s="10"/>
      <c r="D69" s="6"/>
      <c r="E69" s="7">
        <v>0</v>
      </c>
      <c r="F69" s="98">
        <v>6.0303880597014928E-2</v>
      </c>
      <c r="G69" s="10" t="s">
        <v>100</v>
      </c>
      <c r="H69" s="31"/>
      <c r="I69" s="12">
        <v>4.5432628802453853E-4</v>
      </c>
      <c r="J69" s="31">
        <v>0.57890926755251104</v>
      </c>
      <c r="K69" s="7">
        <v>0</v>
      </c>
      <c r="L69" s="91">
        <v>0.31571872146118724</v>
      </c>
    </row>
    <row r="70" spans="1:12">
      <c r="A70" s="47" t="s">
        <v>154</v>
      </c>
      <c r="B70" s="9" t="s">
        <v>190</v>
      </c>
      <c r="C70" s="10"/>
      <c r="D70" s="6"/>
      <c r="E70" s="7">
        <v>0</v>
      </c>
      <c r="F70" s="98">
        <v>0.40901802622740302</v>
      </c>
      <c r="G70" s="10" t="s">
        <v>100</v>
      </c>
      <c r="H70" s="31"/>
      <c r="I70" s="12">
        <v>8.1021521364376039E-3</v>
      </c>
      <c r="J70" s="31">
        <v>0.57890926755251104</v>
      </c>
      <c r="K70" s="7">
        <v>0</v>
      </c>
      <c r="L70" s="91">
        <v>0.31571872146118724</v>
      </c>
    </row>
    <row r="71" spans="1:12">
      <c r="A71" s="47" t="s">
        <v>142</v>
      </c>
      <c r="B71" s="9" t="s">
        <v>202</v>
      </c>
      <c r="C71" s="10"/>
      <c r="D71" s="6"/>
      <c r="E71" s="7">
        <v>0</v>
      </c>
      <c r="F71" s="98">
        <v>6.0303880597014928E-2</v>
      </c>
      <c r="G71" s="17"/>
      <c r="H71" s="29"/>
      <c r="I71" s="10"/>
      <c r="J71" s="6"/>
      <c r="K71" s="10"/>
      <c r="L71" s="10"/>
    </row>
    <row r="72" spans="1:12">
      <c r="A72" s="47" t="s">
        <v>155</v>
      </c>
      <c r="B72" s="9" t="s">
        <v>190</v>
      </c>
      <c r="C72" s="10"/>
      <c r="D72" s="6"/>
      <c r="E72" s="7"/>
      <c r="F72" s="8"/>
      <c r="G72" s="68">
        <v>0</v>
      </c>
      <c r="H72" s="31">
        <v>0.23217920184767699</v>
      </c>
      <c r="I72" s="17">
        <v>5.0512249106061547E-3</v>
      </c>
      <c r="J72" s="31">
        <v>0.57890926755251104</v>
      </c>
      <c r="K72" s="10"/>
      <c r="L72" s="10"/>
    </row>
    <row r="73" spans="1:12">
      <c r="A73" s="47" t="s">
        <v>156</v>
      </c>
      <c r="B73" s="9" t="s">
        <v>202</v>
      </c>
      <c r="C73" s="10"/>
      <c r="D73" s="6"/>
      <c r="E73" s="7"/>
      <c r="F73" s="8"/>
      <c r="G73" s="68">
        <v>0</v>
      </c>
      <c r="H73" s="31">
        <v>0.23217920184767699</v>
      </c>
      <c r="I73" s="10">
        <v>1.3566687767399416E-3</v>
      </c>
      <c r="J73" s="31">
        <v>0.57890926755251104</v>
      </c>
      <c r="K73" s="10"/>
      <c r="L73" s="10"/>
    </row>
    <row r="74" spans="1:12">
      <c r="A74" s="47"/>
      <c r="B74" s="9"/>
      <c r="C74" s="10"/>
      <c r="D74" s="6"/>
      <c r="E74" s="11"/>
      <c r="F74" s="8"/>
      <c r="G74" s="17"/>
      <c r="H74" s="29"/>
      <c r="I74" s="17"/>
      <c r="J74" s="29"/>
      <c r="K74" s="10"/>
      <c r="L74" s="10"/>
    </row>
    <row r="75" spans="1:12">
      <c r="A75" s="45" t="s">
        <v>157</v>
      </c>
      <c r="B75" s="44"/>
      <c r="C75" s="10"/>
      <c r="D75" s="6"/>
      <c r="E75" s="7"/>
      <c r="F75" s="8"/>
      <c r="G75" s="17"/>
      <c r="H75" s="29"/>
      <c r="I75" s="17"/>
      <c r="J75" s="29"/>
      <c r="K75" s="10"/>
      <c r="L75" s="10"/>
    </row>
    <row r="76" spans="1:12">
      <c r="A76" s="47" t="s">
        <v>158</v>
      </c>
      <c r="B76" s="9" t="s">
        <v>190</v>
      </c>
      <c r="C76" s="10"/>
      <c r="D76" s="6"/>
      <c r="E76" s="17">
        <v>0.25424966046044201</v>
      </c>
      <c r="F76" s="98">
        <v>0.78310616915422882</v>
      </c>
      <c r="G76" s="17"/>
      <c r="H76" s="29"/>
      <c r="I76" s="17"/>
      <c r="J76" s="29"/>
      <c r="K76" s="10"/>
      <c r="L76" s="10"/>
    </row>
    <row r="77" spans="1:12">
      <c r="A77" s="47" t="s">
        <v>159</v>
      </c>
      <c r="B77" s="9" t="s">
        <v>190</v>
      </c>
      <c r="C77" s="10"/>
      <c r="D77" s="6"/>
      <c r="E77" s="7"/>
      <c r="F77" s="8"/>
      <c r="G77" s="17"/>
      <c r="H77" s="29"/>
      <c r="I77" s="17">
        <v>5.8496087104992762</v>
      </c>
      <c r="J77" s="31">
        <v>0.57890926755251104</v>
      </c>
      <c r="K77" s="10"/>
      <c r="L77" s="10"/>
    </row>
    <row r="78" spans="1:12">
      <c r="A78" s="47" t="s">
        <v>160</v>
      </c>
      <c r="B78" s="9" t="s">
        <v>190</v>
      </c>
      <c r="C78" s="10"/>
      <c r="D78" s="6"/>
      <c r="E78" s="7"/>
      <c r="F78" s="8"/>
      <c r="G78" s="17"/>
      <c r="H78" s="29"/>
      <c r="I78" s="17">
        <v>13.55013921764877</v>
      </c>
      <c r="J78" s="31">
        <v>0.57890926755251104</v>
      </c>
      <c r="K78" s="10"/>
      <c r="L78" s="10"/>
    </row>
    <row r="79" spans="1:12">
      <c r="A79" s="47" t="s">
        <v>161</v>
      </c>
      <c r="B79" s="9" t="s">
        <v>190</v>
      </c>
      <c r="C79" s="10"/>
      <c r="D79" s="6"/>
      <c r="E79" s="7"/>
      <c r="F79" s="8"/>
      <c r="G79" s="17">
        <v>1.898719753239164</v>
      </c>
      <c r="H79" s="31">
        <v>1</v>
      </c>
      <c r="I79" s="17">
        <v>4.5613879931497756</v>
      </c>
      <c r="J79" s="31">
        <v>1</v>
      </c>
      <c r="K79" s="10">
        <v>1.0298574991549374</v>
      </c>
      <c r="L79" s="91">
        <v>0.57523252968036531</v>
      </c>
    </row>
    <row r="80" spans="1:12">
      <c r="A80" s="47" t="s">
        <v>112</v>
      </c>
      <c r="B80" s="9" t="s">
        <v>190</v>
      </c>
      <c r="C80" s="10"/>
      <c r="D80" s="6"/>
      <c r="E80" s="7"/>
      <c r="F80" s="8"/>
      <c r="G80" s="17">
        <v>3.1958729238377495</v>
      </c>
      <c r="H80" s="31">
        <v>0.5544164474503509</v>
      </c>
      <c r="I80" s="17">
        <v>5.3534780938891462</v>
      </c>
      <c r="J80" s="31">
        <v>0.57890926755251104</v>
      </c>
      <c r="K80" s="10"/>
      <c r="L80" s="10"/>
    </row>
    <row r="81" spans="1:12">
      <c r="A81" s="47" t="s">
        <v>162</v>
      </c>
      <c r="B81" s="9" t="s">
        <v>190</v>
      </c>
      <c r="C81" s="10"/>
      <c r="D81" s="6"/>
      <c r="E81" s="7"/>
      <c r="F81" s="8"/>
      <c r="G81" s="7"/>
      <c r="H81" s="8"/>
      <c r="I81" s="10"/>
      <c r="J81" s="6"/>
      <c r="K81" s="17">
        <v>11.840259923635553</v>
      </c>
      <c r="L81" s="91">
        <v>1</v>
      </c>
    </row>
    <row r="82" spans="1:12">
      <c r="A82" s="47" t="s">
        <v>163</v>
      </c>
      <c r="B82" s="9" t="s">
        <v>190</v>
      </c>
      <c r="C82" s="10"/>
      <c r="D82" s="6"/>
      <c r="E82" s="7"/>
      <c r="F82" s="8"/>
      <c r="G82" s="7"/>
      <c r="H82" s="8"/>
      <c r="I82" s="10"/>
      <c r="J82" s="6"/>
      <c r="K82" s="7">
        <v>0</v>
      </c>
      <c r="L82" s="91">
        <v>0.93845810045662104</v>
      </c>
    </row>
    <row r="83" spans="1:12">
      <c r="A83" s="47" t="s">
        <v>137</v>
      </c>
      <c r="B83" s="9" t="s">
        <v>190</v>
      </c>
      <c r="C83" s="10"/>
      <c r="D83" s="6"/>
      <c r="E83" s="7" t="s">
        <v>100</v>
      </c>
      <c r="F83" s="98"/>
      <c r="G83" s="7">
        <v>0</v>
      </c>
      <c r="H83" s="31">
        <v>1</v>
      </c>
      <c r="I83" s="10"/>
      <c r="J83" s="6"/>
      <c r="K83" s="10"/>
      <c r="L83" s="10"/>
    </row>
    <row r="84" spans="1:12">
      <c r="A84" s="47"/>
      <c r="B84" s="9"/>
      <c r="C84" s="10"/>
      <c r="D84" s="6"/>
      <c r="E84" s="7"/>
      <c r="F84" s="8"/>
      <c r="G84" s="7"/>
      <c r="H84" s="8"/>
      <c r="I84" s="10"/>
      <c r="J84" s="6"/>
      <c r="K84" s="10"/>
      <c r="L84" s="10"/>
    </row>
    <row r="85" spans="1:12">
      <c r="A85" s="45" t="s">
        <v>164</v>
      </c>
      <c r="B85" s="44"/>
      <c r="C85" s="10"/>
      <c r="D85" s="6"/>
      <c r="E85" s="7"/>
      <c r="F85" s="8"/>
      <c r="G85" s="7"/>
      <c r="H85" s="8"/>
      <c r="I85" s="10"/>
      <c r="J85" s="6"/>
      <c r="K85" s="10"/>
      <c r="L85" s="10"/>
    </row>
    <row r="86" spans="1:12">
      <c r="A86" s="47" t="s">
        <v>165</v>
      </c>
      <c r="B86" s="9" t="s">
        <v>190</v>
      </c>
      <c r="C86" s="17">
        <v>0.13643674538561901</v>
      </c>
      <c r="D86" s="98">
        <v>0.23477705718270572</v>
      </c>
      <c r="E86" s="7"/>
      <c r="F86" s="8"/>
      <c r="G86" s="7"/>
      <c r="H86" s="8"/>
      <c r="I86" s="10"/>
      <c r="J86" s="6"/>
      <c r="K86" s="10"/>
      <c r="L86" s="10"/>
    </row>
    <row r="87" spans="1:12">
      <c r="A87" s="47" t="s">
        <v>231</v>
      </c>
      <c r="B87" s="9" t="s">
        <v>190</v>
      </c>
      <c r="C87" s="7">
        <v>6.963116852059259</v>
      </c>
      <c r="D87" s="98">
        <v>0.19984521152952114</v>
      </c>
      <c r="E87" s="7"/>
      <c r="F87" s="8"/>
      <c r="G87" s="7"/>
      <c r="H87" s="8"/>
      <c r="I87" s="10"/>
      <c r="J87" s="6"/>
      <c r="K87" s="10"/>
      <c r="L87" s="10"/>
    </row>
    <row r="88" spans="1:12">
      <c r="A88" s="47" t="s">
        <v>166</v>
      </c>
      <c r="B88" s="9" t="s">
        <v>190</v>
      </c>
      <c r="C88" s="10"/>
      <c r="D88" s="6"/>
      <c r="E88" s="7">
        <v>801.28644272910606</v>
      </c>
      <c r="F88" s="98">
        <v>1</v>
      </c>
      <c r="G88" s="7"/>
      <c r="H88" s="8"/>
      <c r="I88" s="10"/>
      <c r="J88" s="6"/>
      <c r="K88" s="10"/>
      <c r="L88" s="10"/>
    </row>
    <row r="89" spans="1:12">
      <c r="A89" s="47" t="s">
        <v>167</v>
      </c>
      <c r="B89" s="9" t="s">
        <v>190</v>
      </c>
      <c r="C89" s="10"/>
      <c r="D89" s="6"/>
      <c r="E89" s="7"/>
      <c r="F89" s="8"/>
      <c r="G89" s="7"/>
      <c r="H89" s="8"/>
      <c r="I89" s="17">
        <v>35.205068345960271</v>
      </c>
      <c r="J89" s="31">
        <v>1</v>
      </c>
      <c r="K89" s="10"/>
      <c r="L89" s="10"/>
    </row>
    <row r="90" spans="1:12">
      <c r="A90" s="47" t="s">
        <v>168</v>
      </c>
      <c r="B90" s="9" t="s">
        <v>190</v>
      </c>
      <c r="C90" s="10"/>
      <c r="D90" s="6"/>
      <c r="E90" s="7"/>
      <c r="F90" s="8"/>
      <c r="G90" s="7"/>
      <c r="H90" s="8"/>
      <c r="I90" s="17">
        <v>3.433046119744648</v>
      </c>
      <c r="J90" s="31">
        <v>1</v>
      </c>
      <c r="K90" s="10"/>
      <c r="L90" s="10"/>
    </row>
    <row r="91" spans="1:12">
      <c r="A91" s="47" t="s">
        <v>169</v>
      </c>
      <c r="B91" s="9" t="s">
        <v>190</v>
      </c>
      <c r="C91" s="10"/>
      <c r="D91" s="6"/>
      <c r="E91" s="7"/>
      <c r="F91" s="8"/>
      <c r="G91" s="7">
        <v>16.255383891106</v>
      </c>
      <c r="H91" s="98">
        <v>1</v>
      </c>
      <c r="I91" s="17">
        <v>67.620499995286167</v>
      </c>
      <c r="J91" s="31">
        <v>1</v>
      </c>
      <c r="K91" s="10"/>
      <c r="L91" s="10"/>
    </row>
    <row r="92" spans="1:12">
      <c r="A92" s="47" t="s">
        <v>170</v>
      </c>
      <c r="B92" s="9" t="s">
        <v>190</v>
      </c>
      <c r="C92" s="10"/>
      <c r="D92" s="6"/>
      <c r="E92" s="7"/>
      <c r="F92" s="8"/>
      <c r="G92" s="7">
        <v>0</v>
      </c>
      <c r="H92" s="98">
        <v>1</v>
      </c>
      <c r="I92" s="17">
        <v>4.0542355719076886</v>
      </c>
      <c r="J92" s="31">
        <v>1</v>
      </c>
      <c r="K92" s="10"/>
      <c r="L92" s="10"/>
    </row>
    <row r="93" spans="1:12">
      <c r="A93" s="47" t="s">
        <v>171</v>
      </c>
      <c r="B93" s="9" t="s">
        <v>190</v>
      </c>
      <c r="C93" s="10"/>
      <c r="D93" s="6"/>
      <c r="E93" s="7"/>
      <c r="F93" s="8"/>
      <c r="G93" s="7">
        <v>0.57904786990423784</v>
      </c>
      <c r="H93" s="31">
        <v>0.5544164474503509</v>
      </c>
      <c r="I93" s="7">
        <v>0</v>
      </c>
      <c r="J93" s="31">
        <v>0.57890926755251149</v>
      </c>
      <c r="K93" s="17">
        <v>9.271258763700177E-2</v>
      </c>
      <c r="L93" s="91">
        <v>0.57523252968036531</v>
      </c>
    </row>
    <row r="94" spans="1:12">
      <c r="A94" s="47" t="s">
        <v>162</v>
      </c>
      <c r="B94" s="9" t="s">
        <v>190</v>
      </c>
      <c r="C94" s="10"/>
      <c r="D94" s="6"/>
      <c r="E94" s="7"/>
      <c r="F94" s="8"/>
      <c r="G94" s="7"/>
      <c r="H94" s="8"/>
      <c r="I94" s="10"/>
      <c r="J94" s="6"/>
      <c r="K94" s="7">
        <v>0</v>
      </c>
      <c r="L94" s="91">
        <v>0.93845810045662104</v>
      </c>
    </row>
    <row r="95" spans="1:12">
      <c r="A95" s="47" t="s">
        <v>163</v>
      </c>
      <c r="B95" s="9" t="s">
        <v>190</v>
      </c>
      <c r="C95" s="10"/>
      <c r="D95" s="6"/>
      <c r="E95" s="7"/>
      <c r="F95" s="8"/>
      <c r="G95" s="17"/>
      <c r="H95" s="8"/>
      <c r="I95" s="10"/>
      <c r="J95" s="6"/>
      <c r="K95" s="7">
        <v>0</v>
      </c>
      <c r="L95" s="91">
        <v>0.53785353424657534</v>
      </c>
    </row>
    <row r="96" spans="1:12">
      <c r="A96" s="47" t="s">
        <v>172</v>
      </c>
      <c r="B96" s="9" t="s">
        <v>190</v>
      </c>
      <c r="C96" s="10"/>
      <c r="D96" s="6"/>
      <c r="E96" s="7">
        <v>27.001420215830734</v>
      </c>
      <c r="F96" s="98">
        <v>0.4077400783376211</v>
      </c>
      <c r="G96" s="17">
        <v>9.4411479442831361</v>
      </c>
      <c r="H96" s="31">
        <v>1</v>
      </c>
      <c r="I96" s="10"/>
      <c r="J96" s="6"/>
      <c r="K96" s="17">
        <v>6.4455922903548002</v>
      </c>
      <c r="L96" s="91">
        <v>0.93845810045662104</v>
      </c>
    </row>
    <row r="97" spans="1:17">
      <c r="A97" s="47" t="s">
        <v>173</v>
      </c>
      <c r="B97" s="9" t="s">
        <v>190</v>
      </c>
      <c r="C97" s="234">
        <v>3.1379562339376703E-5</v>
      </c>
      <c r="D97" s="189">
        <v>0.23477705718270572</v>
      </c>
      <c r="E97" s="35">
        <v>8.5895894945163995</v>
      </c>
      <c r="F97" s="190">
        <v>0.46804395893463607</v>
      </c>
      <c r="G97" s="103">
        <v>9.4411479442831361</v>
      </c>
      <c r="H97" s="191">
        <v>1</v>
      </c>
      <c r="I97" s="14"/>
      <c r="J97" s="180"/>
      <c r="K97" s="103">
        <v>6.4455922903548002</v>
      </c>
      <c r="L97" s="99">
        <v>0.93845810045662104</v>
      </c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204</v>
      </c>
      <c r="B99" s="73"/>
      <c r="C99" s="75" t="s">
        <v>205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9">
        <v>234</v>
      </c>
      <c r="H100" s="273"/>
      <c r="I100" s="273">
        <v>1609.75647910828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>
        <v>14</v>
      </c>
      <c r="D101" s="266"/>
      <c r="E101" s="266">
        <v>650</v>
      </c>
      <c r="F101" s="266"/>
      <c r="G101" s="266">
        <v>137</v>
      </c>
      <c r="H101" s="266"/>
      <c r="I101" s="266"/>
      <c r="J101" s="266"/>
      <c r="K101" s="266">
        <v>53</v>
      </c>
      <c r="L101" s="266"/>
    </row>
    <row r="102" spans="1:17">
      <c r="A102" s="264" t="s">
        <v>234</v>
      </c>
      <c r="B102" s="265" t="s">
        <v>190</v>
      </c>
      <c r="C102" s="267">
        <v>5.9999999999999995E-4</v>
      </c>
      <c r="D102" s="275"/>
      <c r="E102" s="275">
        <v>4.5999999999999999E-2</v>
      </c>
      <c r="F102" s="275"/>
      <c r="G102" s="275">
        <v>4.1999999999999997E-3</v>
      </c>
      <c r="H102" s="275"/>
      <c r="I102" s="275"/>
      <c r="J102" s="275"/>
      <c r="K102" s="275">
        <v>9.8499999999999998E-4</v>
      </c>
      <c r="L102" s="275"/>
    </row>
    <row r="103" spans="1:17">
      <c r="A103" s="264" t="s">
        <v>235</v>
      </c>
      <c r="B103" s="265" t="s">
        <v>190</v>
      </c>
      <c r="C103" s="268">
        <v>1E-4</v>
      </c>
      <c r="D103" s="268"/>
      <c r="E103" s="268">
        <v>7.4000000000000003E-3</v>
      </c>
      <c r="F103" s="268"/>
      <c r="G103" s="268">
        <v>6.9999999999999999E-4</v>
      </c>
      <c r="H103" s="268"/>
      <c r="I103" s="268"/>
      <c r="J103" s="268"/>
      <c r="K103" s="268">
        <v>9.8499999999999995E-5</v>
      </c>
      <c r="L103" s="268"/>
    </row>
    <row r="110" spans="1:17">
      <c r="E110" s="276"/>
    </row>
  </sheetData>
  <mergeCells count="2"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3"/>
  <sheetViews>
    <sheetView zoomScale="70" zoomScaleNormal="70" workbookViewId="0">
      <pane xSplit="2" ySplit="9" topLeftCell="C10" activePane="bottomRight" state="frozen"/>
      <selection pane="topRight" activeCell="J20" sqref="J20"/>
      <selection pane="bottomLeft" activeCell="J20" sqref="J20"/>
      <selection pane="bottomRight" activeCell="F85" sqref="F85"/>
    </sheetView>
  </sheetViews>
  <sheetFormatPr baseColWidth="10" defaultColWidth="9.1640625" defaultRowHeight="15"/>
  <cols>
    <col min="1" max="1" width="56.5" bestFit="1" customWidth="1"/>
    <col min="2" max="2" width="22.5" customWidth="1"/>
    <col min="3" max="17" width="15.5" customWidth="1"/>
  </cols>
  <sheetData>
    <row r="1" spans="1:17" ht="16">
      <c r="A1" s="15" t="s">
        <v>23</v>
      </c>
    </row>
    <row r="2" spans="1:17">
      <c r="A2" s="16"/>
    </row>
    <row r="3" spans="1:17">
      <c r="A3" s="88" t="s">
        <v>174</v>
      </c>
    </row>
    <row r="4" spans="1:17">
      <c r="A4" s="203"/>
      <c r="B4" s="204" t="s">
        <v>175</v>
      </c>
      <c r="C4" s="225">
        <v>0.48489711112351103</v>
      </c>
      <c r="D4" s="312" t="s">
        <v>176</v>
      </c>
      <c r="E4" s="313"/>
      <c r="F4" s="105">
        <v>70000000</v>
      </c>
      <c r="G4" s="206"/>
      <c r="H4" s="207" t="s">
        <v>177</v>
      </c>
      <c r="I4" s="22">
        <v>35795000</v>
      </c>
      <c r="J4" s="223"/>
      <c r="K4" s="203"/>
      <c r="L4" s="204" t="s">
        <v>178</v>
      </c>
      <c r="M4" s="204"/>
      <c r="N4" s="208">
        <f>I4/(I4+I5)</f>
        <v>1</v>
      </c>
      <c r="Q4" s="44"/>
    </row>
    <row r="5" spans="1:17">
      <c r="A5" s="209"/>
      <c r="B5" s="210" t="s">
        <v>179</v>
      </c>
      <c r="C5" s="23">
        <v>0</v>
      </c>
      <c r="D5" s="312" t="s">
        <v>207</v>
      </c>
      <c r="E5" s="313"/>
      <c r="F5" s="23">
        <v>67717000</v>
      </c>
      <c r="G5" s="212"/>
      <c r="H5" s="213" t="s">
        <v>181</v>
      </c>
      <c r="I5" s="23">
        <v>0</v>
      </c>
      <c r="J5" s="224"/>
      <c r="K5" s="209"/>
      <c r="L5" s="210" t="s">
        <v>178</v>
      </c>
      <c r="M5" s="210"/>
      <c r="N5" s="214">
        <f>I5/(I4+I5)</f>
        <v>0</v>
      </c>
      <c r="Q5" s="44"/>
    </row>
    <row r="6" spans="1:17">
      <c r="A6" s="44"/>
      <c r="B6" s="44"/>
      <c r="C6" s="44"/>
      <c r="D6" s="44"/>
      <c r="E6" s="44"/>
      <c r="F6" s="44"/>
      <c r="G6" s="44"/>
      <c r="H6" s="44"/>
      <c r="I6" s="21"/>
      <c r="J6" s="21"/>
      <c r="K6" s="44"/>
      <c r="L6" s="44"/>
      <c r="M6" s="44"/>
      <c r="N6" s="44"/>
      <c r="O6" s="44"/>
      <c r="P6" s="44"/>
      <c r="Q6" s="44"/>
    </row>
    <row r="7" spans="1:17" ht="32">
      <c r="A7" s="44"/>
      <c r="B7" s="41"/>
      <c r="C7" s="15" t="s">
        <v>44</v>
      </c>
      <c r="D7" s="215"/>
      <c r="E7" s="15" t="s">
        <v>49</v>
      </c>
      <c r="F7" s="216"/>
      <c r="G7" s="15" t="s">
        <v>77</v>
      </c>
      <c r="H7" s="217"/>
      <c r="I7" s="15" t="s">
        <v>78</v>
      </c>
      <c r="J7" s="218"/>
      <c r="K7" s="15" t="s">
        <v>79</v>
      </c>
      <c r="L7" s="89"/>
    </row>
    <row r="8" spans="1:17" ht="48.75" customHeight="1">
      <c r="A8" s="44"/>
      <c r="B8" s="1" t="s">
        <v>186</v>
      </c>
      <c r="C8" s="42" t="s">
        <v>82</v>
      </c>
      <c r="D8" s="2"/>
      <c r="E8" s="43" t="s">
        <v>83</v>
      </c>
      <c r="F8" s="3"/>
      <c r="G8" s="43" t="s">
        <v>77</v>
      </c>
      <c r="H8" s="3"/>
      <c r="I8" s="43" t="s">
        <v>86</v>
      </c>
      <c r="J8" s="3"/>
      <c r="K8" s="43" t="s">
        <v>87</v>
      </c>
      <c r="L8" s="43"/>
    </row>
    <row r="9" spans="1:17" ht="48.75" customHeight="1">
      <c r="A9" s="219"/>
      <c r="B9" s="220" t="s">
        <v>187</v>
      </c>
      <c r="C9" s="18"/>
      <c r="D9" s="221"/>
      <c r="E9" s="18"/>
      <c r="F9" s="221" t="s">
        <v>220</v>
      </c>
      <c r="G9" s="4">
        <f>C4</f>
        <v>0.48489711112351103</v>
      </c>
      <c r="H9" s="221"/>
      <c r="I9" s="5">
        <v>1</v>
      </c>
      <c r="J9" s="221" t="s">
        <v>220</v>
      </c>
      <c r="K9" s="5">
        <v>1</v>
      </c>
      <c r="L9" s="18" t="s">
        <v>220</v>
      </c>
    </row>
    <row r="10" spans="1:17">
      <c r="A10" s="45" t="s">
        <v>97</v>
      </c>
      <c r="B10" s="44"/>
      <c r="C10" s="10"/>
      <c r="D10" s="6"/>
      <c r="E10" s="10"/>
      <c r="F10" s="6"/>
      <c r="G10" s="10"/>
      <c r="H10" s="6"/>
      <c r="I10" s="10"/>
      <c r="J10" s="6"/>
      <c r="K10" s="10"/>
      <c r="L10" s="10"/>
    </row>
    <row r="11" spans="1:17" ht="15" customHeight="1">
      <c r="A11" s="46" t="s">
        <v>98</v>
      </c>
      <c r="B11" s="48" t="s">
        <v>189</v>
      </c>
      <c r="C11" s="314" t="s">
        <v>209</v>
      </c>
      <c r="D11" s="8"/>
      <c r="E11" s="7" t="s">
        <v>100</v>
      </c>
      <c r="F11" s="31"/>
      <c r="G11" s="314" t="s">
        <v>209</v>
      </c>
      <c r="H11" s="8"/>
      <c r="I11" s="17" t="s">
        <v>100</v>
      </c>
      <c r="J11" s="31"/>
      <c r="K11" s="314" t="s">
        <v>209</v>
      </c>
      <c r="L11" s="7"/>
    </row>
    <row r="12" spans="1:17">
      <c r="A12" s="46" t="s">
        <v>101</v>
      </c>
      <c r="B12" s="48" t="s">
        <v>189</v>
      </c>
      <c r="C12" s="314"/>
      <c r="D12" s="8"/>
      <c r="E12" s="7" t="s">
        <v>100</v>
      </c>
      <c r="F12" s="31"/>
      <c r="G12" s="314"/>
      <c r="H12" s="8"/>
      <c r="I12" s="17" t="s">
        <v>100</v>
      </c>
      <c r="J12" s="31"/>
      <c r="K12" s="314"/>
      <c r="L12" s="7"/>
    </row>
    <row r="13" spans="1:17">
      <c r="A13" s="46" t="s">
        <v>102</v>
      </c>
      <c r="B13" s="48" t="s">
        <v>189</v>
      </c>
      <c r="C13" s="314"/>
      <c r="D13" s="8"/>
      <c r="E13" s="7" t="s">
        <v>100</v>
      </c>
      <c r="F13" s="31"/>
      <c r="G13" s="314"/>
      <c r="H13" s="8"/>
      <c r="I13" s="17" t="s">
        <v>100</v>
      </c>
      <c r="J13" s="31"/>
      <c r="K13" s="314"/>
      <c r="L13" s="7"/>
    </row>
    <row r="14" spans="1:17">
      <c r="A14" s="90"/>
      <c r="B14" s="48"/>
      <c r="C14" s="314"/>
      <c r="D14" s="6"/>
      <c r="E14" s="10"/>
      <c r="F14" s="6"/>
      <c r="G14" s="314"/>
      <c r="H14" s="6"/>
      <c r="I14" s="10"/>
      <c r="J14" s="6"/>
      <c r="K14" s="314"/>
      <c r="L14" s="10"/>
    </row>
    <row r="15" spans="1:17">
      <c r="A15" s="45" t="s">
        <v>103</v>
      </c>
      <c r="B15" s="44"/>
      <c r="C15" s="314"/>
      <c r="D15" s="6"/>
      <c r="E15" s="10"/>
      <c r="F15" s="6"/>
      <c r="G15" s="314"/>
      <c r="H15" s="6"/>
      <c r="I15" s="10"/>
      <c r="J15" s="6"/>
      <c r="K15" s="314"/>
      <c r="L15" s="10"/>
    </row>
    <row r="16" spans="1:17">
      <c r="A16" s="47" t="s">
        <v>82</v>
      </c>
      <c r="B16" s="9" t="s">
        <v>190</v>
      </c>
      <c r="C16" s="314"/>
      <c r="D16" s="6"/>
      <c r="E16" s="7" t="s">
        <v>100</v>
      </c>
      <c r="F16" s="31"/>
      <c r="G16" s="314"/>
      <c r="H16" s="6"/>
      <c r="I16" s="10"/>
      <c r="J16" s="6"/>
      <c r="K16" s="314"/>
      <c r="L16" s="10"/>
    </row>
    <row r="17" spans="1:12">
      <c r="A17" s="47" t="s">
        <v>105</v>
      </c>
      <c r="B17" s="9" t="s">
        <v>190</v>
      </c>
      <c r="C17" s="314"/>
      <c r="D17" s="6"/>
      <c r="E17" s="7" t="s">
        <v>100</v>
      </c>
      <c r="F17" s="31"/>
      <c r="G17" s="314"/>
      <c r="H17" s="6"/>
      <c r="I17" s="10"/>
      <c r="J17" s="6"/>
      <c r="K17" s="314"/>
      <c r="L17" s="10"/>
    </row>
    <row r="18" spans="1:12">
      <c r="A18" s="47" t="s">
        <v>106</v>
      </c>
      <c r="B18" s="9" t="s">
        <v>190</v>
      </c>
      <c r="C18" s="314"/>
      <c r="D18" s="6"/>
      <c r="E18" s="7" t="s">
        <v>100</v>
      </c>
      <c r="F18" s="31"/>
      <c r="G18" s="314"/>
      <c r="H18" s="6"/>
      <c r="I18" s="10"/>
      <c r="J18" s="6"/>
      <c r="K18" s="314"/>
      <c r="L18" s="10"/>
    </row>
    <row r="19" spans="1:12">
      <c r="A19" s="47" t="s">
        <v>107</v>
      </c>
      <c r="B19" s="9" t="s">
        <v>191</v>
      </c>
      <c r="C19" s="314"/>
      <c r="D19" s="31"/>
      <c r="E19" s="7" t="s">
        <v>100</v>
      </c>
      <c r="F19" s="31"/>
      <c r="G19" s="314"/>
      <c r="H19" s="31"/>
      <c r="I19" s="17" t="s">
        <v>100</v>
      </c>
      <c r="J19" s="31"/>
      <c r="K19" s="314"/>
      <c r="L19" s="91"/>
    </row>
    <row r="20" spans="1:12">
      <c r="A20" s="47" t="s">
        <v>109</v>
      </c>
      <c r="B20" s="9" t="s">
        <v>191</v>
      </c>
      <c r="C20" s="314"/>
      <c r="D20" s="31"/>
      <c r="E20" s="7" t="s">
        <v>100</v>
      </c>
      <c r="F20" s="31"/>
      <c r="G20" s="314"/>
      <c r="H20" s="8"/>
      <c r="I20" s="17" t="s">
        <v>100</v>
      </c>
      <c r="J20" s="31"/>
      <c r="K20" s="314"/>
      <c r="L20" s="10"/>
    </row>
    <row r="21" spans="1:12">
      <c r="A21" s="47" t="s">
        <v>192</v>
      </c>
      <c r="B21" s="9" t="s">
        <v>190</v>
      </c>
      <c r="C21" s="314"/>
      <c r="D21" s="8"/>
      <c r="E21" s="7"/>
      <c r="F21" s="8"/>
      <c r="G21" s="314"/>
      <c r="H21" s="31"/>
      <c r="I21" s="7"/>
      <c r="J21" s="8"/>
      <c r="K21" s="314"/>
      <c r="L21" s="10"/>
    </row>
    <row r="22" spans="1:12">
      <c r="A22" s="47" t="s">
        <v>110</v>
      </c>
      <c r="B22" s="9" t="s">
        <v>190</v>
      </c>
      <c r="C22" s="314"/>
      <c r="D22" s="8"/>
      <c r="E22" s="7"/>
      <c r="F22" s="8"/>
      <c r="G22" s="314"/>
      <c r="H22" s="31"/>
      <c r="I22" s="7"/>
      <c r="J22" s="8"/>
      <c r="K22" s="314"/>
      <c r="L22" s="10"/>
    </row>
    <row r="23" spans="1:12" ht="15" customHeight="1">
      <c r="A23" s="47" t="s">
        <v>111</v>
      </c>
      <c r="B23" s="9" t="s">
        <v>190</v>
      </c>
      <c r="C23" s="314"/>
      <c r="D23" s="8"/>
      <c r="E23" s="7"/>
      <c r="F23" s="8"/>
      <c r="G23" s="314"/>
      <c r="H23" s="31"/>
      <c r="I23" s="17" t="s">
        <v>100</v>
      </c>
      <c r="J23" s="31"/>
      <c r="K23" s="314"/>
      <c r="L23" s="10"/>
    </row>
    <row r="24" spans="1:12">
      <c r="A24" s="47" t="s">
        <v>112</v>
      </c>
      <c r="B24" s="9" t="s">
        <v>190</v>
      </c>
      <c r="C24" s="314"/>
      <c r="D24" s="8"/>
      <c r="E24" s="7"/>
      <c r="F24" s="8"/>
      <c r="G24" s="314"/>
      <c r="H24" s="31"/>
      <c r="I24" s="17" t="s">
        <v>100</v>
      </c>
      <c r="J24" s="31"/>
      <c r="K24" s="314"/>
      <c r="L24" s="10"/>
    </row>
    <row r="25" spans="1:12">
      <c r="A25" s="47" t="s">
        <v>83</v>
      </c>
      <c r="B25" s="9" t="s">
        <v>190</v>
      </c>
      <c r="C25" s="314"/>
      <c r="D25" s="8"/>
      <c r="E25" s="7"/>
      <c r="F25" s="8"/>
      <c r="G25" s="314"/>
      <c r="H25" s="6"/>
      <c r="I25" s="17" t="s">
        <v>100</v>
      </c>
      <c r="J25" s="31"/>
      <c r="K25" s="314"/>
      <c r="L25" s="10"/>
    </row>
    <row r="26" spans="1:12">
      <c r="A26" s="47" t="s">
        <v>193</v>
      </c>
      <c r="B26" s="9" t="s">
        <v>190</v>
      </c>
      <c r="C26" s="314"/>
      <c r="D26" s="8"/>
      <c r="E26" s="7"/>
      <c r="F26" s="8"/>
      <c r="G26" s="314"/>
      <c r="H26" s="6"/>
      <c r="I26" s="7">
        <f>G9*1000</f>
        <v>484.89711112351102</v>
      </c>
      <c r="J26" s="31">
        <v>1</v>
      </c>
      <c r="K26" s="314"/>
      <c r="L26" s="10"/>
    </row>
    <row r="27" spans="1:12">
      <c r="A27" s="47" t="s">
        <v>113</v>
      </c>
      <c r="B27" s="9" t="s">
        <v>190</v>
      </c>
      <c r="C27" s="314"/>
      <c r="D27" s="8"/>
      <c r="E27" s="7"/>
      <c r="F27" s="8"/>
      <c r="G27" s="314"/>
      <c r="H27" s="6"/>
      <c r="I27" s="17" t="s">
        <v>100</v>
      </c>
      <c r="J27" s="31"/>
      <c r="K27" s="314"/>
      <c r="L27" s="10"/>
    </row>
    <row r="28" spans="1:12">
      <c r="A28" s="47" t="s">
        <v>114</v>
      </c>
      <c r="B28" s="9" t="s">
        <v>190</v>
      </c>
      <c r="C28" s="314"/>
      <c r="D28" s="8"/>
      <c r="E28" s="7"/>
      <c r="F28" s="8"/>
      <c r="G28" s="314"/>
      <c r="H28" s="6"/>
      <c r="I28" s="17" t="s">
        <v>100</v>
      </c>
      <c r="J28" s="31"/>
      <c r="K28" s="314"/>
      <c r="L28" s="10"/>
    </row>
    <row r="29" spans="1:12">
      <c r="A29" s="47" t="s">
        <v>115</v>
      </c>
      <c r="B29" s="9" t="s">
        <v>190</v>
      </c>
      <c r="C29" s="314"/>
      <c r="D29" s="8"/>
      <c r="E29" s="7"/>
      <c r="F29" s="8"/>
      <c r="G29" s="314"/>
      <c r="H29" s="6"/>
      <c r="I29" s="10"/>
      <c r="J29" s="6"/>
      <c r="K29" s="314"/>
      <c r="L29" s="91"/>
    </row>
    <row r="30" spans="1:12">
      <c r="A30" s="47" t="s">
        <v>116</v>
      </c>
      <c r="B30" s="9" t="s">
        <v>190</v>
      </c>
      <c r="C30" s="314"/>
      <c r="D30" s="8"/>
      <c r="E30" s="7"/>
      <c r="F30" s="8"/>
      <c r="G30" s="314"/>
      <c r="H30" s="6"/>
      <c r="I30" s="10"/>
      <c r="J30" s="6"/>
      <c r="K30" s="314"/>
      <c r="L30" s="91"/>
    </row>
    <row r="31" spans="1:12" ht="15" customHeight="1">
      <c r="A31" s="47" t="s">
        <v>117</v>
      </c>
      <c r="B31" s="9" t="s">
        <v>190</v>
      </c>
      <c r="C31" s="314"/>
      <c r="D31" s="8"/>
      <c r="E31" s="7"/>
      <c r="F31" s="8"/>
      <c r="G31" s="314"/>
      <c r="H31" s="6"/>
      <c r="I31" s="10"/>
      <c r="J31" s="6"/>
      <c r="K31" s="314"/>
      <c r="L31" s="91"/>
    </row>
    <row r="32" spans="1:12" ht="15" customHeight="1">
      <c r="A32" s="47" t="s">
        <v>118</v>
      </c>
      <c r="B32" s="9" t="s">
        <v>190</v>
      </c>
      <c r="C32" s="314"/>
      <c r="D32" s="8"/>
      <c r="E32" s="7"/>
      <c r="F32" s="8"/>
      <c r="G32" s="314"/>
      <c r="H32" s="6"/>
      <c r="I32" s="10"/>
      <c r="J32" s="6"/>
      <c r="K32" s="314"/>
      <c r="L32" s="91"/>
    </row>
    <row r="33" spans="1:12" ht="15" customHeight="1">
      <c r="A33" s="47" t="s">
        <v>119</v>
      </c>
      <c r="B33" s="9" t="s">
        <v>190</v>
      </c>
      <c r="C33" s="314"/>
      <c r="D33" s="8"/>
      <c r="E33" s="7"/>
      <c r="F33" s="8"/>
      <c r="G33" s="314"/>
      <c r="H33" s="6"/>
      <c r="I33" s="10"/>
      <c r="J33" s="6"/>
      <c r="K33" s="314"/>
      <c r="L33" s="91"/>
    </row>
    <row r="34" spans="1:12" ht="18.75" customHeight="1">
      <c r="A34" s="47"/>
      <c r="B34" s="9"/>
      <c r="C34" s="314"/>
      <c r="D34" s="8"/>
      <c r="E34" s="7"/>
      <c r="F34" s="8"/>
      <c r="G34" s="314"/>
      <c r="H34" s="6"/>
      <c r="I34" s="10"/>
      <c r="J34" s="6"/>
      <c r="K34" s="314"/>
      <c r="L34" s="91"/>
    </row>
    <row r="35" spans="1:12">
      <c r="A35" s="34" t="s">
        <v>120</v>
      </c>
      <c r="B35" s="9"/>
      <c r="C35" s="314"/>
      <c r="D35" s="8"/>
      <c r="E35" s="10"/>
      <c r="F35" s="6"/>
      <c r="G35" s="314"/>
      <c r="H35" s="6"/>
      <c r="I35" s="10"/>
      <c r="J35" s="6"/>
      <c r="K35" s="314"/>
      <c r="L35" s="11"/>
    </row>
    <row r="36" spans="1:12" s="25" customFormat="1">
      <c r="A36" s="92" t="s">
        <v>121</v>
      </c>
      <c r="B36" s="93" t="s">
        <v>191</v>
      </c>
      <c r="C36" s="314"/>
      <c r="D36" s="37"/>
      <c r="E36" s="7" t="s">
        <v>100</v>
      </c>
      <c r="F36" s="37"/>
      <c r="G36" s="314"/>
      <c r="H36" s="37"/>
      <c r="I36" s="17" t="s">
        <v>100</v>
      </c>
      <c r="J36" s="37"/>
      <c r="K36" s="314"/>
      <c r="L36" s="95"/>
    </row>
    <row r="37" spans="1:12" s="25" customFormat="1">
      <c r="A37" s="92" t="s">
        <v>122</v>
      </c>
      <c r="B37" s="93" t="s">
        <v>191</v>
      </c>
      <c r="C37" s="314"/>
      <c r="D37" s="37"/>
      <c r="E37" s="7" t="s">
        <v>100</v>
      </c>
      <c r="F37" s="37"/>
      <c r="G37" s="314"/>
      <c r="H37" s="96"/>
      <c r="I37" s="17" t="s">
        <v>100</v>
      </c>
      <c r="J37" s="37"/>
      <c r="K37" s="314"/>
      <c r="L37" s="95"/>
    </row>
    <row r="38" spans="1:12">
      <c r="A38" s="47" t="s">
        <v>123</v>
      </c>
      <c r="B38" s="9" t="s">
        <v>210</v>
      </c>
      <c r="C38" s="314"/>
      <c r="D38" s="31"/>
      <c r="E38" s="7" t="s">
        <v>100</v>
      </c>
      <c r="F38" s="31"/>
      <c r="G38" s="314"/>
      <c r="H38" s="31"/>
      <c r="I38" s="17"/>
      <c r="J38" s="31"/>
      <c r="K38" s="314"/>
      <c r="L38" s="91"/>
    </row>
    <row r="39" spans="1:12">
      <c r="A39" s="47" t="s">
        <v>194</v>
      </c>
      <c r="B39" s="9" t="s">
        <v>195</v>
      </c>
      <c r="C39" s="314"/>
      <c r="D39" s="31"/>
      <c r="E39" s="7" t="s">
        <v>100</v>
      </c>
      <c r="F39" s="31"/>
      <c r="G39" s="314"/>
      <c r="H39" s="31"/>
      <c r="I39" s="17"/>
      <c r="J39" s="31"/>
      <c r="K39" s="314"/>
      <c r="L39" s="91"/>
    </row>
    <row r="40" spans="1:12">
      <c r="A40" s="47" t="s">
        <v>197</v>
      </c>
      <c r="B40" s="9" t="s">
        <v>195</v>
      </c>
      <c r="C40" s="314"/>
      <c r="D40" s="31"/>
      <c r="E40" s="7" t="s">
        <v>100</v>
      </c>
      <c r="F40" s="31"/>
      <c r="G40" s="314"/>
      <c r="H40" s="31"/>
      <c r="I40" s="17"/>
      <c r="J40" s="31"/>
      <c r="K40" s="314"/>
      <c r="L40" s="91"/>
    </row>
    <row r="41" spans="1:12">
      <c r="A41" s="47" t="s">
        <v>199</v>
      </c>
      <c r="B41" s="9" t="s">
        <v>200</v>
      </c>
      <c r="C41" s="314"/>
      <c r="D41" s="31"/>
      <c r="E41" s="7" t="s">
        <v>100</v>
      </c>
      <c r="F41" s="31"/>
      <c r="G41" s="314"/>
      <c r="H41" s="31"/>
      <c r="I41" s="17"/>
      <c r="J41" s="31"/>
      <c r="K41" s="314"/>
      <c r="L41" s="91"/>
    </row>
    <row r="42" spans="1:12">
      <c r="A42" s="47"/>
      <c r="B42" s="9"/>
      <c r="C42" s="314"/>
      <c r="D42" s="6"/>
      <c r="E42" s="10"/>
      <c r="F42" s="6"/>
      <c r="G42" s="314"/>
      <c r="H42" s="6"/>
      <c r="I42" s="10"/>
      <c r="J42" s="6"/>
      <c r="K42" s="314"/>
      <c r="L42" s="10"/>
    </row>
    <row r="43" spans="1:12">
      <c r="A43" s="45" t="s">
        <v>130</v>
      </c>
      <c r="B43" s="44"/>
      <c r="C43" s="314"/>
      <c r="D43" s="237"/>
      <c r="E43" s="10"/>
      <c r="F43" s="6"/>
      <c r="G43" s="314"/>
      <c r="H43" s="6"/>
      <c r="I43" s="10"/>
      <c r="J43" s="6"/>
      <c r="K43" s="314"/>
      <c r="L43" s="10"/>
    </row>
    <row r="44" spans="1:12">
      <c r="A44" s="47" t="s">
        <v>131</v>
      </c>
      <c r="B44" s="9" t="s">
        <v>201</v>
      </c>
      <c r="C44" s="314"/>
      <c r="D44" s="91"/>
      <c r="E44" s="7">
        <v>610.48064751640572</v>
      </c>
      <c r="F44" s="31">
        <v>1</v>
      </c>
      <c r="G44" s="314"/>
      <c r="H44" s="31"/>
      <c r="I44" s="10"/>
      <c r="J44" s="6"/>
      <c r="K44" s="314"/>
      <c r="L44" s="91"/>
    </row>
    <row r="45" spans="1:12">
      <c r="A45" s="47" t="s">
        <v>133</v>
      </c>
      <c r="B45" s="9" t="s">
        <v>201</v>
      </c>
      <c r="C45" s="314"/>
      <c r="D45" s="7"/>
      <c r="E45" s="7">
        <v>5.3550933992667167</v>
      </c>
      <c r="F45" s="31">
        <v>1</v>
      </c>
      <c r="G45" s="314"/>
      <c r="H45" s="31"/>
      <c r="I45" s="10"/>
      <c r="J45" s="6"/>
      <c r="K45" s="314"/>
      <c r="L45" s="91"/>
    </row>
    <row r="46" spans="1:12">
      <c r="A46" s="47" t="s">
        <v>134</v>
      </c>
      <c r="B46" s="9" t="s">
        <v>201</v>
      </c>
      <c r="C46" s="314"/>
      <c r="D46" s="31"/>
      <c r="E46" s="7">
        <v>296.16340513185446</v>
      </c>
      <c r="F46" s="31">
        <v>1</v>
      </c>
      <c r="G46" s="314"/>
      <c r="H46" s="31"/>
      <c r="I46" s="10"/>
      <c r="J46" s="6"/>
      <c r="K46" s="314"/>
      <c r="L46" s="91"/>
    </row>
    <row r="47" spans="1:12">
      <c r="A47" s="47" t="s">
        <v>135</v>
      </c>
      <c r="B47" s="9" t="s">
        <v>201</v>
      </c>
      <c r="C47" s="314"/>
      <c r="D47" s="31"/>
      <c r="E47" s="7">
        <v>8868.034669185683</v>
      </c>
      <c r="F47" s="31">
        <v>1</v>
      </c>
      <c r="G47" s="314"/>
      <c r="H47" s="31"/>
      <c r="I47" s="10"/>
      <c r="J47" s="6"/>
      <c r="K47" s="314"/>
      <c r="L47" s="91"/>
    </row>
    <row r="48" spans="1:12">
      <c r="A48" s="47" t="s">
        <v>136</v>
      </c>
      <c r="B48" s="9" t="s">
        <v>201</v>
      </c>
      <c r="C48" s="314"/>
      <c r="D48" s="31"/>
      <c r="E48" s="7">
        <v>591.55332055900999</v>
      </c>
      <c r="F48" s="31">
        <v>1</v>
      </c>
      <c r="G48" s="314"/>
      <c r="H48" s="91"/>
      <c r="I48" s="82">
        <v>49201.100192595899</v>
      </c>
      <c r="J48" s="31">
        <v>0.99667047401484865</v>
      </c>
      <c r="K48" s="314"/>
      <c r="L48" s="91"/>
    </row>
    <row r="49" spans="1:12">
      <c r="A49" s="47" t="s">
        <v>137</v>
      </c>
      <c r="B49" s="9" t="s">
        <v>201</v>
      </c>
      <c r="C49" s="314"/>
      <c r="D49" s="6"/>
      <c r="E49" s="7">
        <v>6.6128642077797366</v>
      </c>
      <c r="F49" s="31">
        <v>1</v>
      </c>
      <c r="G49" s="314"/>
      <c r="H49" s="31"/>
      <c r="I49" s="10"/>
      <c r="J49" s="6"/>
      <c r="K49" s="314"/>
      <c r="L49" s="10"/>
    </row>
    <row r="50" spans="1:12">
      <c r="A50" s="47"/>
      <c r="B50" s="9"/>
      <c r="C50" s="314"/>
      <c r="D50" s="6"/>
      <c r="E50" s="10"/>
      <c r="F50" s="6"/>
      <c r="G50" s="314"/>
      <c r="H50" s="6"/>
      <c r="I50" s="10"/>
      <c r="J50" s="6"/>
      <c r="K50" s="314"/>
      <c r="L50" s="10"/>
    </row>
    <row r="51" spans="1:12">
      <c r="A51" s="45" t="s">
        <v>138</v>
      </c>
      <c r="B51" s="44"/>
      <c r="C51" s="314"/>
      <c r="D51" s="6"/>
      <c r="E51" s="10"/>
      <c r="F51" s="6"/>
      <c r="G51" s="314"/>
      <c r="H51" s="6"/>
      <c r="I51" s="10"/>
      <c r="J51" s="6"/>
      <c r="K51" s="314"/>
      <c r="L51" s="10"/>
    </row>
    <row r="52" spans="1:12">
      <c r="A52" s="47" t="s">
        <v>139</v>
      </c>
      <c r="B52" s="9" t="s">
        <v>190</v>
      </c>
      <c r="C52" s="314"/>
      <c r="D52" s="31"/>
      <c r="E52" s="7" t="s">
        <v>100</v>
      </c>
      <c r="F52" s="31"/>
      <c r="G52" s="314"/>
      <c r="H52" s="31"/>
      <c r="I52" s="17" t="s">
        <v>100</v>
      </c>
      <c r="J52" s="31"/>
      <c r="K52" s="314"/>
      <c r="L52" s="91"/>
    </row>
    <row r="53" spans="1:12">
      <c r="A53" s="47" t="s">
        <v>140</v>
      </c>
      <c r="B53" s="9" t="s">
        <v>190</v>
      </c>
      <c r="C53" s="314"/>
      <c r="D53" s="6"/>
      <c r="E53" s="7" t="s">
        <v>100</v>
      </c>
      <c r="F53" s="31"/>
      <c r="G53" s="314"/>
      <c r="H53" s="31"/>
      <c r="I53" s="17" t="s">
        <v>100</v>
      </c>
      <c r="J53" s="31"/>
      <c r="K53" s="314"/>
      <c r="L53" s="91"/>
    </row>
    <row r="54" spans="1:12" ht="17">
      <c r="A54" s="47" t="s">
        <v>141</v>
      </c>
      <c r="B54" s="9" t="s">
        <v>190</v>
      </c>
      <c r="C54" s="314"/>
      <c r="D54" s="6"/>
      <c r="E54" s="7" t="s">
        <v>100</v>
      </c>
      <c r="F54" s="31"/>
      <c r="G54" s="314"/>
      <c r="H54" s="31"/>
      <c r="I54" s="17" t="s">
        <v>100</v>
      </c>
      <c r="J54" s="31"/>
      <c r="K54" s="314"/>
      <c r="L54" s="91"/>
    </row>
    <row r="55" spans="1:12">
      <c r="A55" s="47" t="s">
        <v>142</v>
      </c>
      <c r="B55" s="9" t="s">
        <v>202</v>
      </c>
      <c r="C55" s="314"/>
      <c r="D55" s="6"/>
      <c r="E55" s="7" t="s">
        <v>100</v>
      </c>
      <c r="F55" s="31"/>
      <c r="G55" s="314"/>
      <c r="H55" s="29"/>
      <c r="I55" s="10"/>
      <c r="J55" s="6"/>
      <c r="K55" s="314"/>
      <c r="L55" s="10"/>
    </row>
    <row r="56" spans="1:12" ht="17">
      <c r="A56" s="47" t="s">
        <v>144</v>
      </c>
      <c r="B56" s="9" t="s">
        <v>202</v>
      </c>
      <c r="C56" s="314"/>
      <c r="D56" s="6"/>
      <c r="E56" s="7"/>
      <c r="F56" s="31"/>
      <c r="G56" s="314"/>
      <c r="H56" s="29"/>
      <c r="I56" s="10"/>
      <c r="J56" s="6"/>
      <c r="K56" s="314"/>
      <c r="L56" s="10"/>
    </row>
    <row r="57" spans="1:12">
      <c r="A57" s="47" t="s">
        <v>145</v>
      </c>
      <c r="B57" s="9" t="s">
        <v>190</v>
      </c>
      <c r="C57" s="314"/>
      <c r="D57" s="6"/>
      <c r="E57" s="7"/>
      <c r="F57" s="8"/>
      <c r="G57" s="314"/>
      <c r="H57" s="31"/>
      <c r="I57" s="318">
        <v>0.47</v>
      </c>
      <c r="J57" s="31"/>
      <c r="K57" s="314"/>
      <c r="L57" s="10"/>
    </row>
    <row r="58" spans="1:12">
      <c r="A58" s="47" t="s">
        <v>146</v>
      </c>
      <c r="B58" s="9" t="s">
        <v>190</v>
      </c>
      <c r="C58" s="314"/>
      <c r="D58" s="6"/>
      <c r="E58" s="7"/>
      <c r="F58" s="8"/>
      <c r="G58" s="314"/>
      <c r="H58" s="31"/>
      <c r="I58" s="318"/>
      <c r="J58" s="31"/>
      <c r="K58" s="314"/>
      <c r="L58" s="10"/>
    </row>
    <row r="59" spans="1:12">
      <c r="A59" s="47" t="s">
        <v>147</v>
      </c>
      <c r="B59" s="9" t="s">
        <v>190</v>
      </c>
      <c r="C59" s="314"/>
      <c r="D59" s="6"/>
      <c r="E59" s="7"/>
      <c r="F59" s="8"/>
      <c r="G59" s="314"/>
      <c r="H59" s="31"/>
      <c r="I59" s="17" t="s">
        <v>100</v>
      </c>
      <c r="J59" s="31"/>
      <c r="K59" s="314"/>
      <c r="L59" s="10"/>
    </row>
    <row r="60" spans="1:12">
      <c r="A60" s="47" t="s">
        <v>148</v>
      </c>
      <c r="B60" s="9" t="s">
        <v>202</v>
      </c>
      <c r="C60" s="314"/>
      <c r="D60" s="6"/>
      <c r="E60" s="7"/>
      <c r="F60" s="8"/>
      <c r="G60" s="314"/>
      <c r="H60" s="31"/>
      <c r="I60" s="17" t="s">
        <v>100</v>
      </c>
      <c r="J60" s="31"/>
      <c r="K60" s="314"/>
      <c r="L60" s="10"/>
    </row>
    <row r="61" spans="1:12">
      <c r="A61" s="47" t="s">
        <v>149</v>
      </c>
      <c r="B61" s="9" t="s">
        <v>190</v>
      </c>
      <c r="C61" s="314"/>
      <c r="D61" s="6"/>
      <c r="E61" s="7"/>
      <c r="F61" s="8"/>
      <c r="G61" s="314"/>
      <c r="H61" s="29"/>
      <c r="I61" s="72">
        <v>0.161</v>
      </c>
      <c r="J61" s="31"/>
      <c r="K61" s="314"/>
      <c r="L61" s="10"/>
    </row>
    <row r="62" spans="1:12">
      <c r="A62" s="47" t="s">
        <v>150</v>
      </c>
      <c r="B62" s="9" t="s">
        <v>190</v>
      </c>
      <c r="C62" s="314"/>
      <c r="D62" s="6"/>
      <c r="E62" s="7"/>
      <c r="F62" s="8"/>
      <c r="G62" s="314"/>
      <c r="H62" s="29"/>
      <c r="I62" s="72">
        <v>5.0000000000000001E-3</v>
      </c>
      <c r="J62" s="98"/>
      <c r="K62" s="314"/>
      <c r="L62" s="10"/>
    </row>
    <row r="63" spans="1:12">
      <c r="A63" s="47" t="s">
        <v>151</v>
      </c>
      <c r="B63" s="9" t="s">
        <v>190</v>
      </c>
      <c r="C63" s="314"/>
      <c r="D63" s="6"/>
      <c r="E63" s="7"/>
      <c r="F63" s="8"/>
      <c r="G63" s="314"/>
      <c r="H63" s="29"/>
      <c r="I63" s="10"/>
      <c r="J63" s="6"/>
      <c r="K63" s="314"/>
      <c r="L63" s="91"/>
    </row>
    <row r="64" spans="1:12">
      <c r="A64" s="47" t="s">
        <v>203</v>
      </c>
      <c r="B64" s="9" t="s">
        <v>190</v>
      </c>
      <c r="C64" s="314"/>
      <c r="D64" s="6"/>
      <c r="E64" s="7"/>
      <c r="F64" s="8"/>
      <c r="G64" s="314"/>
      <c r="H64" s="29"/>
      <c r="I64" s="10"/>
      <c r="J64" s="6"/>
      <c r="K64" s="314"/>
      <c r="L64" s="91"/>
    </row>
    <row r="65" spans="1:12">
      <c r="A65" s="47"/>
      <c r="B65" s="9"/>
      <c r="C65" s="314"/>
      <c r="D65" s="6"/>
      <c r="E65" s="7"/>
      <c r="F65" s="8"/>
      <c r="G65" s="314"/>
      <c r="H65" s="29"/>
      <c r="I65" s="10"/>
      <c r="J65" s="6"/>
      <c r="K65" s="314"/>
      <c r="L65" s="13"/>
    </row>
    <row r="66" spans="1:12">
      <c r="A66" s="45" t="s">
        <v>152</v>
      </c>
      <c r="B66" s="44"/>
      <c r="C66" s="314"/>
      <c r="D66" s="6"/>
      <c r="E66" s="7"/>
      <c r="F66" s="8"/>
      <c r="G66" s="314"/>
      <c r="H66" s="29"/>
      <c r="I66" s="10"/>
      <c r="J66" s="6"/>
      <c r="K66" s="314"/>
      <c r="L66" s="10"/>
    </row>
    <row r="67" spans="1:12">
      <c r="A67" s="47" t="s">
        <v>107</v>
      </c>
      <c r="B67" s="9" t="s">
        <v>191</v>
      </c>
      <c r="C67" s="314"/>
      <c r="D67" s="33"/>
      <c r="E67" s="7" t="s">
        <v>100</v>
      </c>
      <c r="F67" s="31"/>
      <c r="G67" s="314"/>
      <c r="H67" s="31"/>
      <c r="I67" s="17" t="s">
        <v>100</v>
      </c>
      <c r="J67" s="31"/>
      <c r="K67" s="314"/>
      <c r="L67" s="91"/>
    </row>
    <row r="68" spans="1:12">
      <c r="A68" s="47" t="s">
        <v>109</v>
      </c>
      <c r="B68" s="9" t="s">
        <v>191</v>
      </c>
      <c r="C68" s="314"/>
      <c r="D68" s="33"/>
      <c r="E68" s="7" t="s">
        <v>100</v>
      </c>
      <c r="F68" s="31"/>
      <c r="G68" s="314"/>
      <c r="H68" s="31"/>
      <c r="I68" s="17" t="s">
        <v>100</v>
      </c>
      <c r="J68" s="31"/>
      <c r="K68" s="314"/>
      <c r="L68" s="10"/>
    </row>
    <row r="69" spans="1:12">
      <c r="A69" s="47" t="s">
        <v>153</v>
      </c>
      <c r="B69" s="9" t="s">
        <v>190</v>
      </c>
      <c r="C69" s="314"/>
      <c r="D69" s="6"/>
      <c r="E69" s="7" t="s">
        <v>100</v>
      </c>
      <c r="F69" s="31"/>
      <c r="G69" s="314"/>
      <c r="H69" s="31"/>
      <c r="I69" s="17" t="s">
        <v>100</v>
      </c>
      <c r="J69" s="31"/>
      <c r="K69" s="314"/>
      <c r="L69" s="91"/>
    </row>
    <row r="70" spans="1:12">
      <c r="A70" s="47" t="s">
        <v>154</v>
      </c>
      <c r="B70" s="9" t="s">
        <v>190</v>
      </c>
      <c r="C70" s="314"/>
      <c r="D70" s="6"/>
      <c r="E70" s="7" t="s">
        <v>100</v>
      </c>
      <c r="F70" s="31"/>
      <c r="G70" s="314"/>
      <c r="H70" s="31"/>
      <c r="I70" s="17" t="s">
        <v>100</v>
      </c>
      <c r="J70" s="31"/>
      <c r="K70" s="314"/>
      <c r="L70" s="91"/>
    </row>
    <row r="71" spans="1:12">
      <c r="A71" s="47" t="s">
        <v>142</v>
      </c>
      <c r="B71" s="9" t="s">
        <v>202</v>
      </c>
      <c r="C71" s="314"/>
      <c r="D71" s="6"/>
      <c r="E71" s="7" t="s">
        <v>100</v>
      </c>
      <c r="F71" s="31"/>
      <c r="G71" s="314"/>
      <c r="H71" s="29"/>
      <c r="I71" s="10"/>
      <c r="J71" s="6"/>
      <c r="K71" s="314"/>
      <c r="L71" s="10"/>
    </row>
    <row r="72" spans="1:12">
      <c r="A72" s="47" t="s">
        <v>155</v>
      </c>
      <c r="B72" s="9" t="s">
        <v>190</v>
      </c>
      <c r="C72" s="314"/>
      <c r="D72" s="6"/>
      <c r="E72" s="7"/>
      <c r="F72" s="8"/>
      <c r="G72" s="314"/>
      <c r="H72" s="31"/>
      <c r="I72" s="17" t="s">
        <v>100</v>
      </c>
      <c r="J72" s="31"/>
      <c r="K72" s="314"/>
      <c r="L72" s="10"/>
    </row>
    <row r="73" spans="1:12">
      <c r="A73" s="47" t="s">
        <v>156</v>
      </c>
      <c r="B73" s="9" t="s">
        <v>202</v>
      </c>
      <c r="C73" s="314"/>
      <c r="D73" s="6"/>
      <c r="E73" s="7"/>
      <c r="F73" s="8"/>
      <c r="G73" s="314"/>
      <c r="H73" s="31"/>
      <c r="I73" s="17" t="s">
        <v>100</v>
      </c>
      <c r="J73" s="31"/>
      <c r="K73" s="314"/>
      <c r="L73" s="10"/>
    </row>
    <row r="74" spans="1:12">
      <c r="A74" s="47"/>
      <c r="B74" s="9"/>
      <c r="C74" s="314"/>
      <c r="D74" s="6"/>
      <c r="E74" s="7"/>
      <c r="F74" s="8"/>
      <c r="G74" s="314"/>
      <c r="H74" s="29"/>
      <c r="I74" s="17"/>
      <c r="J74" s="29"/>
      <c r="K74" s="314"/>
      <c r="L74" s="10"/>
    </row>
    <row r="75" spans="1:12">
      <c r="A75" s="45" t="s">
        <v>157</v>
      </c>
      <c r="B75" s="44"/>
      <c r="C75" s="314"/>
      <c r="D75" s="6"/>
      <c r="E75" s="7"/>
      <c r="F75" s="8"/>
      <c r="G75" s="314"/>
      <c r="H75" s="29"/>
      <c r="I75" s="17"/>
      <c r="J75" s="29"/>
      <c r="K75" s="314"/>
      <c r="L75" s="10"/>
    </row>
    <row r="76" spans="1:12">
      <c r="A76" s="47" t="s">
        <v>158</v>
      </c>
      <c r="B76" s="9" t="s">
        <v>190</v>
      </c>
      <c r="C76" s="314"/>
      <c r="D76" s="6"/>
      <c r="E76" s="7" t="s">
        <v>100</v>
      </c>
      <c r="F76" s="31"/>
      <c r="G76" s="314"/>
      <c r="H76" s="29"/>
      <c r="I76" s="17"/>
      <c r="J76" s="29"/>
      <c r="K76" s="314"/>
      <c r="L76" s="10"/>
    </row>
    <row r="77" spans="1:12">
      <c r="A77" s="47" t="s">
        <v>159</v>
      </c>
      <c r="B77" s="9" t="s">
        <v>190</v>
      </c>
      <c r="C77" s="314"/>
      <c r="D77" s="6"/>
      <c r="E77" s="7"/>
      <c r="F77" s="8"/>
      <c r="G77" s="314"/>
      <c r="H77" s="29"/>
      <c r="I77" s="17" t="s">
        <v>100</v>
      </c>
      <c r="J77" s="31"/>
      <c r="K77" s="314"/>
      <c r="L77" s="10"/>
    </row>
    <row r="78" spans="1:12">
      <c r="A78" s="47" t="s">
        <v>160</v>
      </c>
      <c r="B78" s="9" t="s">
        <v>190</v>
      </c>
      <c r="C78" s="314"/>
      <c r="D78" s="6"/>
      <c r="E78" s="7"/>
      <c r="F78" s="8"/>
      <c r="G78" s="314"/>
      <c r="H78" s="29"/>
      <c r="I78" s="17" t="s">
        <v>100</v>
      </c>
      <c r="J78" s="31"/>
      <c r="K78" s="314"/>
      <c r="L78" s="10"/>
    </row>
    <row r="79" spans="1:12">
      <c r="A79" s="47" t="s">
        <v>161</v>
      </c>
      <c r="B79" s="9" t="s">
        <v>190</v>
      </c>
      <c r="C79" s="314"/>
      <c r="D79" s="6"/>
      <c r="E79" s="7"/>
      <c r="F79" s="8"/>
      <c r="G79" s="314"/>
      <c r="H79" s="31"/>
      <c r="I79" s="17" t="s">
        <v>100</v>
      </c>
      <c r="J79" s="31"/>
      <c r="K79" s="314"/>
      <c r="L79" s="91"/>
    </row>
    <row r="80" spans="1:12">
      <c r="A80" s="47" t="s">
        <v>112</v>
      </c>
      <c r="B80" s="9" t="s">
        <v>190</v>
      </c>
      <c r="C80" s="314"/>
      <c r="D80" s="6"/>
      <c r="E80" s="7"/>
      <c r="F80" s="8"/>
      <c r="G80" s="314"/>
      <c r="H80" s="31"/>
      <c r="I80" s="17" t="s">
        <v>100</v>
      </c>
      <c r="J80" s="31"/>
      <c r="K80" s="314"/>
      <c r="L80" s="10"/>
    </row>
    <row r="81" spans="1:12">
      <c r="A81" s="47" t="s">
        <v>162</v>
      </c>
      <c r="B81" s="9" t="s">
        <v>190</v>
      </c>
      <c r="C81" s="314"/>
      <c r="D81" s="6"/>
      <c r="E81" s="7"/>
      <c r="F81" s="8"/>
      <c r="G81" s="314"/>
      <c r="H81" s="8"/>
      <c r="I81" s="10"/>
      <c r="J81" s="6"/>
      <c r="K81" s="314"/>
      <c r="L81" s="91"/>
    </row>
    <row r="82" spans="1:12">
      <c r="A82" s="47" t="s">
        <v>163</v>
      </c>
      <c r="B82" s="9" t="s">
        <v>190</v>
      </c>
      <c r="C82" s="314"/>
      <c r="D82" s="6"/>
      <c r="E82" s="7"/>
      <c r="F82" s="8"/>
      <c r="G82" s="314"/>
      <c r="H82" s="8"/>
      <c r="I82" s="10"/>
      <c r="J82" s="6"/>
      <c r="K82" s="314"/>
      <c r="L82" s="91"/>
    </row>
    <row r="83" spans="1:12">
      <c r="A83" s="47" t="s">
        <v>137</v>
      </c>
      <c r="B83" s="9" t="s">
        <v>190</v>
      </c>
      <c r="C83" s="314"/>
      <c r="D83" s="6"/>
      <c r="E83" s="7"/>
      <c r="F83" s="31"/>
      <c r="G83" s="314"/>
      <c r="H83" s="31"/>
      <c r="I83" s="10"/>
      <c r="J83" s="6"/>
      <c r="K83" s="314"/>
      <c r="L83" s="10"/>
    </row>
    <row r="84" spans="1:12">
      <c r="A84" s="47"/>
      <c r="B84" s="9"/>
      <c r="C84" s="314"/>
      <c r="D84" s="6"/>
      <c r="E84" s="7"/>
      <c r="F84" s="8"/>
      <c r="G84" s="314"/>
      <c r="H84" s="8"/>
      <c r="I84" s="10"/>
      <c r="J84" s="6"/>
      <c r="K84" s="314"/>
      <c r="L84" s="10"/>
    </row>
    <row r="85" spans="1:12">
      <c r="A85" s="45" t="s">
        <v>164</v>
      </c>
      <c r="B85" s="44"/>
      <c r="C85" s="314"/>
      <c r="D85" s="6"/>
      <c r="E85" s="7"/>
      <c r="F85" s="8"/>
      <c r="G85" s="314"/>
      <c r="H85" s="8"/>
      <c r="I85" s="10"/>
      <c r="J85" s="6"/>
      <c r="K85" s="314"/>
      <c r="L85" s="10"/>
    </row>
    <row r="86" spans="1:12">
      <c r="A86" s="47" t="s">
        <v>165</v>
      </c>
      <c r="B86" s="9" t="s">
        <v>190</v>
      </c>
      <c r="C86" s="314"/>
      <c r="D86" s="31"/>
      <c r="E86" s="7"/>
      <c r="F86" s="8"/>
      <c r="G86" s="314"/>
      <c r="H86" s="8"/>
      <c r="I86" s="10"/>
      <c r="J86" s="6"/>
      <c r="K86" s="314"/>
      <c r="L86" s="10"/>
    </row>
    <row r="87" spans="1:12">
      <c r="A87" s="47" t="s">
        <v>231</v>
      </c>
      <c r="B87" s="9" t="s">
        <v>190</v>
      </c>
      <c r="C87" s="314"/>
      <c r="D87" s="31"/>
      <c r="E87" s="7"/>
      <c r="F87" s="8"/>
      <c r="G87" s="314"/>
      <c r="H87" s="8"/>
      <c r="I87" s="10"/>
      <c r="J87" s="6"/>
      <c r="K87" s="314"/>
      <c r="L87" s="10"/>
    </row>
    <row r="88" spans="1:12">
      <c r="A88" s="47" t="s">
        <v>166</v>
      </c>
      <c r="B88" s="9" t="s">
        <v>190</v>
      </c>
      <c r="C88" s="314"/>
      <c r="D88" s="6"/>
      <c r="E88" s="7" t="s">
        <v>100</v>
      </c>
      <c r="F88" s="31"/>
      <c r="G88" s="314"/>
      <c r="H88" s="8"/>
      <c r="I88" s="10"/>
      <c r="J88" s="6"/>
      <c r="K88" s="314"/>
      <c r="L88" s="10"/>
    </row>
    <row r="89" spans="1:12">
      <c r="A89" s="47" t="s">
        <v>167</v>
      </c>
      <c r="B89" s="9" t="s">
        <v>190</v>
      </c>
      <c r="C89" s="314"/>
      <c r="D89" s="6"/>
      <c r="E89" s="7"/>
      <c r="F89" s="8"/>
      <c r="G89" s="314"/>
      <c r="H89" s="8"/>
      <c r="I89" s="17" t="s">
        <v>100</v>
      </c>
      <c r="J89" s="31"/>
      <c r="K89" s="314"/>
      <c r="L89" s="10"/>
    </row>
    <row r="90" spans="1:12">
      <c r="A90" s="47" t="s">
        <v>168</v>
      </c>
      <c r="B90" s="9" t="s">
        <v>190</v>
      </c>
      <c r="C90" s="314"/>
      <c r="D90" s="6"/>
      <c r="E90" s="7"/>
      <c r="F90" s="8"/>
      <c r="G90" s="314"/>
      <c r="H90" s="8"/>
      <c r="I90" s="17" t="s">
        <v>100</v>
      </c>
      <c r="J90" s="31"/>
      <c r="K90" s="314"/>
      <c r="L90" s="10"/>
    </row>
    <row r="91" spans="1:12">
      <c r="A91" s="47" t="s">
        <v>169</v>
      </c>
      <c r="B91" s="9" t="s">
        <v>190</v>
      </c>
      <c r="C91" s="314"/>
      <c r="D91" s="6"/>
      <c r="E91" s="7"/>
      <c r="F91" s="8"/>
      <c r="G91" s="314"/>
      <c r="H91" s="31"/>
      <c r="I91" s="17" t="s">
        <v>100</v>
      </c>
      <c r="J91" s="31"/>
      <c r="K91" s="314"/>
      <c r="L91" s="10"/>
    </row>
    <row r="92" spans="1:12">
      <c r="A92" s="47" t="s">
        <v>170</v>
      </c>
      <c r="B92" s="9" t="s">
        <v>190</v>
      </c>
      <c r="C92" s="314"/>
      <c r="D92" s="6"/>
      <c r="E92" s="7"/>
      <c r="F92" s="8"/>
      <c r="G92" s="314"/>
      <c r="H92" s="31"/>
      <c r="I92" s="17" t="s">
        <v>100</v>
      </c>
      <c r="J92" s="31"/>
      <c r="K92" s="314"/>
      <c r="L92" s="10"/>
    </row>
    <row r="93" spans="1:12">
      <c r="A93" s="47" t="s">
        <v>171</v>
      </c>
      <c r="B93" s="9" t="s">
        <v>190</v>
      </c>
      <c r="C93" s="314"/>
      <c r="D93" s="6"/>
      <c r="E93" s="7"/>
      <c r="F93" s="8"/>
      <c r="G93" s="314"/>
      <c r="H93" s="31"/>
      <c r="I93" s="17" t="s">
        <v>100</v>
      </c>
      <c r="J93" s="31"/>
      <c r="K93" s="314"/>
      <c r="L93" s="91"/>
    </row>
    <row r="94" spans="1:12">
      <c r="A94" s="47" t="s">
        <v>162</v>
      </c>
      <c r="B94" s="9" t="s">
        <v>190</v>
      </c>
      <c r="C94" s="314"/>
      <c r="D94" s="6"/>
      <c r="E94" s="7"/>
      <c r="F94" s="8"/>
      <c r="G94" s="314"/>
      <c r="H94" s="8"/>
      <c r="I94" s="10"/>
      <c r="J94" s="6"/>
      <c r="K94" s="314"/>
      <c r="L94" s="91"/>
    </row>
    <row r="95" spans="1:12">
      <c r="A95" s="47" t="s">
        <v>163</v>
      </c>
      <c r="B95" s="9" t="s">
        <v>190</v>
      </c>
      <c r="C95" s="314"/>
      <c r="D95" s="6"/>
      <c r="E95" s="7"/>
      <c r="F95" s="8"/>
      <c r="G95" s="314"/>
      <c r="H95" s="8"/>
      <c r="I95" s="10"/>
      <c r="J95" s="6"/>
      <c r="K95" s="314"/>
      <c r="L95" s="91"/>
    </row>
    <row r="96" spans="1:12">
      <c r="A96" s="47" t="s">
        <v>172</v>
      </c>
      <c r="B96" s="9" t="s">
        <v>190</v>
      </c>
      <c r="C96" s="314"/>
      <c r="D96" s="6"/>
      <c r="E96" s="7" t="s">
        <v>100</v>
      </c>
      <c r="F96" s="31"/>
      <c r="G96" s="314"/>
      <c r="H96" s="31"/>
      <c r="I96" s="10"/>
      <c r="J96" s="6"/>
      <c r="K96" s="314"/>
      <c r="L96" s="91"/>
    </row>
    <row r="97" spans="1:17">
      <c r="A97" s="47" t="s">
        <v>173</v>
      </c>
      <c r="B97" s="9" t="s">
        <v>190</v>
      </c>
      <c r="C97" s="315"/>
      <c r="D97" s="180"/>
      <c r="E97" s="20" t="s">
        <v>100</v>
      </c>
      <c r="F97" s="222"/>
      <c r="G97" s="315"/>
      <c r="H97" s="191"/>
      <c r="I97" s="14"/>
      <c r="J97" s="180"/>
      <c r="K97" s="315"/>
      <c r="L97" s="99"/>
    </row>
    <row r="98" spans="1:17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1:17" s="25" customFormat="1">
      <c r="A99" s="45" t="s">
        <v>204</v>
      </c>
      <c r="B99" s="73"/>
      <c r="C99" s="75" t="s">
        <v>205</v>
      </c>
      <c r="D99" s="24"/>
      <c r="E99" s="24"/>
      <c r="F99" s="24"/>
      <c r="G99" s="100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s="25" customFormat="1">
      <c r="A100" s="47" t="s">
        <v>206</v>
      </c>
      <c r="B100" s="9" t="s">
        <v>190</v>
      </c>
      <c r="C100" s="273"/>
      <c r="D100" s="273"/>
      <c r="E100" s="273"/>
      <c r="F100" s="273"/>
      <c r="G100" s="273"/>
      <c r="H100" s="273"/>
      <c r="I100" s="273">
        <v>1474.9923590895701</v>
      </c>
      <c r="J100" s="273"/>
      <c r="K100" s="273"/>
      <c r="L100" s="273"/>
      <c r="M100" s="19"/>
      <c r="N100" s="19"/>
      <c r="O100" s="28"/>
      <c r="P100" s="28"/>
      <c r="Q100" s="27"/>
    </row>
    <row r="101" spans="1:17">
      <c r="A101" s="264" t="s">
        <v>233</v>
      </c>
      <c r="B101" s="265" t="s">
        <v>190</v>
      </c>
      <c r="C101" s="266"/>
      <c r="D101" s="266"/>
      <c r="E101" s="266">
        <v>923</v>
      </c>
      <c r="F101" s="266"/>
      <c r="G101" s="266"/>
      <c r="H101" s="266"/>
      <c r="I101" s="266"/>
      <c r="J101" s="266"/>
      <c r="K101" s="266"/>
      <c r="L101" s="266"/>
    </row>
    <row r="102" spans="1:17">
      <c r="A102" s="264" t="s">
        <v>234</v>
      </c>
      <c r="B102" s="265" t="s">
        <v>190</v>
      </c>
      <c r="C102" s="267"/>
      <c r="D102" s="267"/>
      <c r="E102" s="267">
        <v>9.9699999999999997E-2</v>
      </c>
      <c r="F102" s="267"/>
      <c r="G102" s="267"/>
      <c r="H102" s="267"/>
      <c r="I102" s="267"/>
      <c r="J102" s="267"/>
      <c r="K102" s="267"/>
      <c r="L102" s="267"/>
    </row>
    <row r="103" spans="1:17">
      <c r="A103" s="264" t="s">
        <v>235</v>
      </c>
      <c r="B103" s="265" t="s">
        <v>190</v>
      </c>
      <c r="C103" s="268"/>
      <c r="D103" s="268"/>
      <c r="E103" s="268">
        <v>1.46E-2</v>
      </c>
      <c r="F103" s="268"/>
      <c r="G103" s="268"/>
      <c r="H103" s="268"/>
      <c r="I103" s="268"/>
      <c r="J103" s="268"/>
      <c r="K103" s="268"/>
      <c r="L103" s="268"/>
    </row>
  </sheetData>
  <mergeCells count="6">
    <mergeCell ref="C11:C97"/>
    <mergeCell ref="G11:G97"/>
    <mergeCell ref="K11:K97"/>
    <mergeCell ref="D4:E4"/>
    <mergeCell ref="D5:E5"/>
    <mergeCell ref="I57:I5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cdf569-9d8c-4421-86e0-32b985bc86bf">
      <Terms xmlns="http://schemas.microsoft.com/office/infopath/2007/PartnerControls"/>
    </lcf76f155ced4ddcb4097134ff3c332f>
    <TaxCatchAll xmlns="2f2abda8-0a71-4944-838e-07c8725f8563" xsi:nil="true"/>
    <SharedWithUsers xmlns="2f2abda8-0a71-4944-838e-07c8725f8563">
      <UserInfo>
        <DisplayName>Abdelhakim Boutafi</DisplayName>
        <AccountId>377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103A683CE442909C869E3E291ADB" ma:contentTypeVersion="22" ma:contentTypeDescription="Create a new document." ma:contentTypeScope="" ma:versionID="c1996c140f68621574b29c14a61a926b">
  <xsd:schema xmlns:xsd="http://www.w3.org/2001/XMLSchema" xmlns:xs="http://www.w3.org/2001/XMLSchema" xmlns:p="http://schemas.microsoft.com/office/2006/metadata/properties" xmlns:ns2="29cdf569-9d8c-4421-86e0-32b985bc86bf" xmlns:ns3="2f2abda8-0a71-4944-838e-07c8725f8563" targetNamespace="http://schemas.microsoft.com/office/2006/metadata/properties" ma:root="true" ma:fieldsID="f764e326ceece3d304e19d71bee5de30" ns2:_="" ns3:_="">
    <xsd:import namespace="29cdf569-9d8c-4421-86e0-32b985bc86bf"/>
    <xsd:import namespace="2f2abda8-0a71-4944-838e-07c8725f85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df569-9d8c-4421-86e0-32b985bc8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a22b3ad-301a-47ad-8f2d-1c1eede6a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abda8-0a71-4944-838e-07c8725f85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6de949c-0a47-4ee5-8601-11c78d09e0a2}" ma:internalName="TaxCatchAll" ma:showField="CatchAllData" ma:web="2f2abda8-0a71-4944-838e-07c8725f8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6E894-EBEA-42A1-9415-6201B3A6F909}">
  <ds:schemaRefs>
    <ds:schemaRef ds:uri="http://schemas.microsoft.com/office/2006/documentManagement/types"/>
    <ds:schemaRef ds:uri="http://purl.org/dc/dcmitype/"/>
    <ds:schemaRef ds:uri="http://purl.org/dc/elements/1.1/"/>
    <ds:schemaRef ds:uri="29cdf569-9d8c-4421-86e0-32b985bc86bf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2f2abda8-0a71-4944-838e-07c8725f856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395E21-0B9C-4769-9863-FA2204C31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cdf569-9d8c-4421-86e0-32b985bc86bf"/>
    <ds:schemaRef ds:uri="2f2abda8-0a71-4944-838e-07c8725f8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8E1DE-A5F9-4EAE-8427-2507F351B8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Overview</vt:lpstr>
      <vt:lpstr>Process Flow Diagram</vt:lpstr>
      <vt:lpstr>Summary (Region &amp; Unit Process)</vt:lpstr>
      <vt:lpstr>Global (product)</vt:lpstr>
      <vt:lpstr>Africa (product)</vt:lpstr>
      <vt:lpstr>NAM (product)</vt:lpstr>
      <vt:lpstr>Canada (product)</vt:lpstr>
      <vt:lpstr>South America (product)</vt:lpstr>
      <vt:lpstr>China (product)</vt:lpstr>
      <vt:lpstr>Other Asia (product)</vt:lpstr>
      <vt:lpstr>GCC (product)</vt:lpstr>
      <vt:lpstr>Europe (product)</vt:lpstr>
      <vt:lpstr>Russia and Other Euro (product)</vt:lpstr>
      <vt:lpstr>Oceania (product)</vt:lpstr>
      <vt:lpstr>'Process Flow Diagram'!Print_Area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Pernelle Nunez</dc:creator>
  <cp:keywords/>
  <dc:description/>
  <cp:lastModifiedBy>Linlin Wu</cp:lastModifiedBy>
  <cp:revision/>
  <dcterms:created xsi:type="dcterms:W3CDTF">2017-01-03T13:09:10Z</dcterms:created>
  <dcterms:modified xsi:type="dcterms:W3CDTF">2024-04-11T22:31:25Z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0x0101008C9E103A683CE442909C869E3E291ADB</vt:lpwstr>
  </property>
  <property fmtid="{D5CDD505-2E9C-101B-9397-08002B2CF9AE}" pid="3" name="MediaServiceImageTags">
    <vt:lpwstr/>
  </property>
</Properties>
</file>