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intalu-my.sharepoint.com/personal/bertram_international-aluminium_org/Documents/Marlen/IAI/Projects/GBCCA/Eunomia/"/>
    </mc:Choice>
  </mc:AlternateContent>
  <xr:revisionPtr revIDLastSave="32" documentId="8_{5A7EEDDC-1E46-4472-994C-3650A50E84CA}" xr6:coauthVersionLast="47" xr6:coauthVersionMax="47" xr10:uidLastSave="{623B2CF7-5887-4804-8DB0-D5A99F070D82}"/>
  <bookViews>
    <workbookView xWindow="-110" yWindow="-110" windowWidth="38620" windowHeight="21100" activeTab="5" xr2:uid="{78F7D5CA-861D-4733-9674-929AEFF5DF61}"/>
  </bookViews>
  <sheets>
    <sheet name="Title Page" sheetId="41" r:id="rId1"/>
    <sheet name="Key" sheetId="26" r:id="rId2"/>
    <sheet name="Assumptions" sheetId="18" r:id="rId3"/>
    <sheet name="Outputs &gt;&gt;" sheetId="39" r:id="rId4"/>
    <sheet name="Summary" sheetId="40" r:id="rId5"/>
    <sheet name="Aluminium" sheetId="34" r:id="rId6"/>
    <sheet name="Glass" sheetId="35" r:id="rId7"/>
    <sheet name="PET" sheetId="36" r:id="rId8"/>
    <sheet name="Sources" sheetId="9" r:id="rId9"/>
    <sheet name="Reloop POM Values" sheetId="38" r:id="rId10"/>
    <sheet name="Lists" sheetId="11" state="hidden" r:id="rId11"/>
    <sheet name="Comparison to Previous Study" sheetId="42" state="hidden" r:id="rId12"/>
  </sheets>
  <externalReferences>
    <externalReference r:id="rId13"/>
    <externalReference r:id="rId14"/>
  </externalReferences>
  <definedNames>
    <definedName name="_xlnm._FilterDatabase" localSheetId="5" hidden="1">Aluminium!$B$10:$H$45</definedName>
    <definedName name="_xlnm._FilterDatabase" localSheetId="6" hidden="1">Glass!$B$10:$P$45</definedName>
    <definedName name="_xlnm._FilterDatabase" localSheetId="7" hidden="1">PET!$B$10:$S$45</definedName>
    <definedName name="_xlnm._FilterDatabase" localSheetId="9" hidden="1">'Reloop POM Values'!$A$1:$D$604</definedName>
    <definedName name="_xlnm._FilterDatabase" localSheetId="8" hidden="1">Sources!$A$6:$T$163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3" i="18" l="1"/>
  <c r="C40" i="18" s="1"/>
  <c r="D38" i="18"/>
  <c r="E45" i="36" l="1"/>
  <c r="J45" i="36"/>
  <c r="E44" i="36"/>
  <c r="J44" i="36"/>
  <c r="E41" i="36"/>
  <c r="H41" i="36"/>
  <c r="E40" i="36"/>
  <c r="H40" i="36"/>
  <c r="E39" i="36"/>
  <c r="H39" i="36"/>
  <c r="E36" i="36"/>
  <c r="H36" i="36"/>
  <c r="E35" i="36"/>
  <c r="H35" i="36"/>
  <c r="E34" i="36"/>
  <c r="H34" i="36"/>
  <c r="E33" i="36"/>
  <c r="H33" i="36"/>
  <c r="E32" i="36"/>
  <c r="H32" i="36"/>
  <c r="E31" i="36"/>
  <c r="H31" i="36"/>
  <c r="E30" i="36"/>
  <c r="H30" i="36"/>
  <c r="E29" i="36"/>
  <c r="H29" i="36"/>
  <c r="E28" i="36"/>
  <c r="J28" i="36"/>
  <c r="E27" i="36"/>
  <c r="H27" i="36"/>
  <c r="E24" i="36"/>
  <c r="H24" i="36"/>
  <c r="E23" i="36"/>
  <c r="J23" i="36"/>
  <c r="E22" i="36"/>
  <c r="H22" i="36"/>
  <c r="E20" i="36"/>
  <c r="H20" i="36"/>
  <c r="E19" i="36"/>
  <c r="H19" i="36"/>
  <c r="E18" i="36"/>
  <c r="H18" i="36"/>
  <c r="E17" i="36"/>
  <c r="J17" i="36"/>
  <c r="E16" i="36"/>
  <c r="J16" i="36"/>
  <c r="H14" i="36"/>
  <c r="E12" i="36"/>
  <c r="H12" i="36"/>
  <c r="E45" i="35"/>
  <c r="J45" i="35"/>
  <c r="E43" i="35"/>
  <c r="J43" i="35"/>
  <c r="E41" i="35"/>
  <c r="H41" i="35"/>
  <c r="E40" i="35"/>
  <c r="H40" i="35"/>
  <c r="E39" i="35"/>
  <c r="H39" i="35"/>
  <c r="E36" i="35"/>
  <c r="H36" i="35"/>
  <c r="E35" i="35"/>
  <c r="H35" i="35"/>
  <c r="H32" i="35"/>
  <c r="E31" i="35"/>
  <c r="H31" i="35"/>
  <c r="E28" i="35"/>
  <c r="H28" i="35"/>
  <c r="E27" i="35"/>
  <c r="H27" i="35"/>
  <c r="E23" i="35"/>
  <c r="H23" i="35"/>
  <c r="E22" i="35"/>
  <c r="H22" i="35"/>
  <c r="E19" i="35"/>
  <c r="H19" i="35"/>
  <c r="E18" i="35"/>
  <c r="H18" i="35"/>
  <c r="E17" i="35"/>
  <c r="H17" i="35"/>
  <c r="E16" i="35"/>
  <c r="J16" i="35"/>
  <c r="E14" i="35"/>
  <c r="J14" i="35"/>
  <c r="E11" i="35"/>
  <c r="H11" i="35"/>
  <c r="H44" i="35" l="1"/>
  <c r="I44" i="35" s="1"/>
  <c r="E44" i="35"/>
  <c r="J62" i="9"/>
  <c r="E10" i="42" l="1"/>
  <c r="D10" i="42"/>
  <c r="C10" i="42"/>
  <c r="E9" i="42"/>
  <c r="D9" i="42"/>
  <c r="C9" i="42"/>
  <c r="E8" i="42"/>
  <c r="D8" i="42"/>
  <c r="C8" i="42"/>
  <c r="E7" i="42"/>
  <c r="D7" i="42"/>
  <c r="C7" i="42"/>
  <c r="E6" i="42"/>
  <c r="D6" i="42"/>
  <c r="C6" i="42"/>
  <c r="D11" i="42" l="1"/>
  <c r="F9" i="42"/>
  <c r="C11" i="42"/>
  <c r="F6" i="42"/>
  <c r="F8" i="42"/>
  <c r="F7" i="42"/>
  <c r="F10" i="42"/>
  <c r="E11" i="42"/>
  <c r="C29" i="42"/>
  <c r="E25" i="42"/>
  <c r="F25" i="42" s="1"/>
  <c r="E26" i="42"/>
  <c r="E27" i="42"/>
  <c r="F27" i="42" s="1"/>
  <c r="E28" i="42"/>
  <c r="F28" i="42" s="1"/>
  <c r="E24" i="42"/>
  <c r="F24" i="42" s="1"/>
  <c r="D25" i="42"/>
  <c r="D26" i="42"/>
  <c r="D27" i="42"/>
  <c r="D28" i="42"/>
  <c r="D24" i="42"/>
  <c r="F11" i="42" l="1"/>
  <c r="D29" i="42"/>
  <c r="E29" i="42"/>
  <c r="F29" i="42" s="1"/>
  <c r="F26" i="42"/>
  <c r="E38" i="18"/>
  <c r="G54" i="18"/>
  <c r="G55" i="18"/>
  <c r="G56" i="18"/>
  <c r="G57" i="18"/>
  <c r="G53" i="18"/>
  <c r="C19" i="42" l="1"/>
  <c r="K43" i="35"/>
  <c r="I11" i="35"/>
  <c r="C18" i="42"/>
  <c r="D18" i="18"/>
  <c r="J13" i="36"/>
  <c r="J13" i="35"/>
  <c r="D38" i="35"/>
  <c r="K14" i="35" l="1"/>
  <c r="E18" i="42" l="1"/>
  <c r="F18" i="42" s="1"/>
  <c r="I14" i="36"/>
  <c r="P45" i="36"/>
  <c r="P43" i="36"/>
  <c r="P42" i="36"/>
  <c r="P41" i="36"/>
  <c r="P40" i="36"/>
  <c r="P39" i="36"/>
  <c r="P38" i="36"/>
  <c r="P37" i="36"/>
  <c r="P36" i="36"/>
  <c r="P35" i="36"/>
  <c r="P34" i="36"/>
  <c r="P33" i="36"/>
  <c r="P32" i="36"/>
  <c r="P30" i="36"/>
  <c r="P29" i="36"/>
  <c r="P28" i="36"/>
  <c r="P27" i="36"/>
  <c r="P26" i="36"/>
  <c r="P25" i="36"/>
  <c r="P24" i="36"/>
  <c r="P23" i="36"/>
  <c r="P21" i="36"/>
  <c r="P20" i="36"/>
  <c r="P19" i="36"/>
  <c r="P18" i="36"/>
  <c r="P17" i="36"/>
  <c r="P15" i="36"/>
  <c r="P14" i="36"/>
  <c r="P12" i="36"/>
  <c r="P11" i="36"/>
  <c r="AH145" i="18"/>
  <c r="F146" i="18" s="1"/>
  <c r="D18" i="42" l="1"/>
  <c r="P146" i="18"/>
  <c r="O146" i="18"/>
  <c r="M146" i="18"/>
  <c r="N146" i="18"/>
  <c r="L146" i="18"/>
  <c r="AC146" i="18"/>
  <c r="E146" i="18"/>
  <c r="AB146" i="18"/>
  <c r="AA146" i="18"/>
  <c r="Z146" i="18"/>
  <c r="Y146" i="18"/>
  <c r="X146" i="18"/>
  <c r="Q146" i="18"/>
  <c r="W146" i="18"/>
  <c r="AG146" i="18"/>
  <c r="U146" i="18"/>
  <c r="I146" i="18"/>
  <c r="T146" i="18"/>
  <c r="AE146" i="18"/>
  <c r="S146" i="18"/>
  <c r="G146" i="18"/>
  <c r="K146" i="18"/>
  <c r="D146" i="18"/>
  <c r="V146" i="18"/>
  <c r="J146" i="18"/>
  <c r="AF146" i="18"/>
  <c r="H146" i="18"/>
  <c r="AD146" i="18"/>
  <c r="R146" i="18"/>
  <c r="AJ147" i="18" l="1"/>
  <c r="AJ149" i="18"/>
  <c r="AJ148" i="18"/>
  <c r="AH146" i="18"/>
  <c r="AK147" i="18" l="1"/>
  <c r="O22" i="35" l="1"/>
  <c r="P22" i="35" s="1"/>
  <c r="O22" i="36"/>
  <c r="P22" i="36" s="1"/>
  <c r="E61" i="36" l="1"/>
  <c r="E63" i="36"/>
  <c r="E64" i="36"/>
  <c r="E60" i="36"/>
  <c r="E59" i="36"/>
  <c r="E64" i="35"/>
  <c r="E63" i="35"/>
  <c r="E62" i="35"/>
  <c r="E61" i="35"/>
  <c r="E60" i="35"/>
  <c r="E59" i="35"/>
  <c r="D165" i="18"/>
  <c r="C31" i="18"/>
  <c r="D31" i="18" s="1"/>
  <c r="C30" i="18"/>
  <c r="D30" i="18" s="1"/>
  <c r="E30" i="18" s="1"/>
  <c r="C29" i="18"/>
  <c r="D29" i="18" s="1"/>
  <c r="E29" i="18" s="1"/>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7" i="38"/>
  <c r="D16" i="38"/>
  <c r="D15" i="38"/>
  <c r="D14" i="38"/>
  <c r="D13" i="38"/>
  <c r="D12" i="38"/>
  <c r="D11" i="38"/>
  <c r="D10" i="38"/>
  <c r="D9" i="38"/>
  <c r="D8" i="38"/>
  <c r="D7" i="38"/>
  <c r="D6" i="38"/>
  <c r="D5" i="38"/>
  <c r="D4" i="38"/>
  <c r="D3" i="38"/>
  <c r="D2" i="38"/>
  <c r="E31" i="18" l="1"/>
  <c r="D50" i="36" s="1"/>
  <c r="D50" i="35"/>
  <c r="D22" i="35"/>
  <c r="E65" i="35" s="1"/>
  <c r="D22" i="36"/>
  <c r="E65" i="36" s="1"/>
  <c r="D44" i="36"/>
  <c r="E62" i="36" s="1"/>
  <c r="D10" i="18"/>
  <c r="E10" i="18" s="1"/>
  <c r="D16" i="18" s="1"/>
  <c r="F16" i="18" s="1"/>
  <c r="C17" i="42"/>
  <c r="F21" i="18"/>
  <c r="F22" i="18"/>
  <c r="F23" i="18"/>
  <c r="F24" i="18"/>
  <c r="F18" i="18"/>
  <c r="C15" i="42" l="1"/>
  <c r="E16" i="42"/>
  <c r="C16" i="42"/>
  <c r="D17" i="18"/>
  <c r="F17" i="18" s="1"/>
  <c r="D20" i="18"/>
  <c r="F20" i="18" s="1"/>
  <c r="D19" i="18"/>
  <c r="D158" i="18"/>
  <c r="D157" i="18"/>
  <c r="C20" i="42" l="1"/>
  <c r="F16" i="42"/>
  <c r="O31" i="36"/>
  <c r="P31" i="36" s="1"/>
  <c r="O31" i="35"/>
  <c r="F19" i="18"/>
  <c r="V132" i="18"/>
  <c r="U119" i="18"/>
  <c r="U132" i="18"/>
  <c r="T119" i="18"/>
  <c r="V133" i="18" l="1"/>
  <c r="U120" i="18"/>
  <c r="AH149" i="18"/>
  <c r="AH148" i="18"/>
  <c r="AH147" i="18"/>
  <c r="P42" i="35"/>
  <c r="P40" i="35"/>
  <c r="P36" i="35"/>
  <c r="P29" i="35"/>
  <c r="P18" i="35"/>
  <c r="P12" i="35"/>
  <c r="P11" i="35"/>
  <c r="P45" i="35"/>
  <c r="P43" i="35"/>
  <c r="P41" i="35"/>
  <c r="P39" i="35"/>
  <c r="P38" i="35"/>
  <c r="P37" i="35"/>
  <c r="P35" i="35"/>
  <c r="P34" i="35"/>
  <c r="P33" i="35"/>
  <c r="P32" i="35"/>
  <c r="P31" i="35"/>
  <c r="P30" i="35"/>
  <c r="P28" i="35"/>
  <c r="P27" i="35"/>
  <c r="P26" i="35"/>
  <c r="P25" i="35"/>
  <c r="P24" i="35"/>
  <c r="P23" i="35"/>
  <c r="P21" i="35"/>
  <c r="P20" i="35"/>
  <c r="P19" i="35"/>
  <c r="P17" i="35"/>
  <c r="E137" i="18"/>
  <c r="E136" i="18"/>
  <c r="E135" i="18"/>
  <c r="E134" i="18"/>
  <c r="E133" i="18"/>
  <c r="E132" i="18"/>
  <c r="E120" i="18"/>
  <c r="E121" i="18"/>
  <c r="E122" i="18"/>
  <c r="E123" i="18"/>
  <c r="E124" i="18"/>
  <c r="E119" i="18"/>
  <c r="P15" i="35"/>
  <c r="P14" i="35"/>
  <c r="H107" i="18"/>
  <c r="H108" i="18"/>
  <c r="H109" i="18"/>
  <c r="H110" i="18"/>
  <c r="H111" i="18"/>
  <c r="H106" i="18"/>
  <c r="C65" i="36"/>
  <c r="C64" i="36"/>
  <c r="C63" i="36"/>
  <c r="C62" i="36"/>
  <c r="C61" i="36"/>
  <c r="C60" i="36"/>
  <c r="C59" i="36"/>
  <c r="H45" i="36"/>
  <c r="H44" i="36"/>
  <c r="I39" i="36"/>
  <c r="H28" i="36"/>
  <c r="H23" i="36"/>
  <c r="H21" i="36"/>
  <c r="H17" i="36"/>
  <c r="H16" i="36"/>
  <c r="C65" i="35"/>
  <c r="C64" i="35"/>
  <c r="C63" i="35"/>
  <c r="C62" i="35"/>
  <c r="C61" i="35"/>
  <c r="C60" i="35"/>
  <c r="C59" i="35"/>
  <c r="H45" i="35"/>
  <c r="J34" i="35"/>
  <c r="E68" i="18"/>
  <c r="F64" i="18"/>
  <c r="G64" i="18" s="1"/>
  <c r="H64" i="18" s="1"/>
  <c r="F65" i="18"/>
  <c r="G65" i="18" s="1"/>
  <c r="H65" i="18" s="1"/>
  <c r="F67" i="18"/>
  <c r="G67" i="18" s="1"/>
  <c r="H67" i="18" s="1"/>
  <c r="D39" i="18" s="1"/>
  <c r="G76" i="18"/>
  <c r="H76" i="18" s="1"/>
  <c r="AI147" i="18" l="1"/>
  <c r="H69" i="18"/>
  <c r="I20" i="36"/>
  <c r="I36" i="36"/>
  <c r="I21" i="36"/>
  <c r="I29" i="36"/>
  <c r="I22" i="36"/>
  <c r="K22" i="36" s="1"/>
  <c r="I30" i="36"/>
  <c r="I40" i="36"/>
  <c r="I16" i="36"/>
  <c r="E78" i="18" s="1"/>
  <c r="I23" i="36"/>
  <c r="E80" i="18" s="1"/>
  <c r="I31" i="36"/>
  <c r="I41" i="36"/>
  <c r="K16" i="36"/>
  <c r="F78" i="18" s="1"/>
  <c r="I32" i="36"/>
  <c r="I44" i="36"/>
  <c r="I17" i="36"/>
  <c r="E79" i="18" s="1"/>
  <c r="I24" i="36"/>
  <c r="I33" i="36"/>
  <c r="E82" i="18" s="1"/>
  <c r="K44" i="36"/>
  <c r="I18" i="36"/>
  <c r="I27" i="36"/>
  <c r="I34" i="36"/>
  <c r="I45" i="36"/>
  <c r="I19" i="36"/>
  <c r="I28" i="36"/>
  <c r="E81" i="18" s="1"/>
  <c r="I35" i="36"/>
  <c r="C39" i="18"/>
  <c r="I12" i="36"/>
  <c r="I108" i="18"/>
  <c r="O13" i="36" s="1"/>
  <c r="P13" i="36" s="1"/>
  <c r="I106" i="18"/>
  <c r="F134" i="18"/>
  <c r="V135" i="18" s="1"/>
  <c r="O16" i="36" s="1"/>
  <c r="P16" i="36" s="1"/>
  <c r="I110" i="18"/>
  <c r="F136" i="18"/>
  <c r="V136" i="18" s="1"/>
  <c r="F132" i="18"/>
  <c r="I22" i="35"/>
  <c r="F68" i="18"/>
  <c r="G68" i="18" s="1"/>
  <c r="I14" i="35" l="1"/>
  <c r="H14" i="35" s="1"/>
  <c r="K11" i="35"/>
  <c r="J11" i="35" s="1"/>
  <c r="I43" i="35"/>
  <c r="H43" i="35" s="1"/>
  <c r="M76" i="18"/>
  <c r="H68" i="18"/>
  <c r="E39" i="18" s="1"/>
  <c r="V134" i="18"/>
  <c r="O16" i="35" s="1"/>
  <c r="O13" i="35"/>
  <c r="P13" i="35" s="1"/>
  <c r="N76" i="18" l="1"/>
  <c r="K22" i="35"/>
  <c r="P16" i="35"/>
  <c r="D19" i="42" l="1"/>
  <c r="Q22" i="35"/>
  <c r="J22" i="35"/>
  <c r="E19" i="42" l="1"/>
  <c r="F19" i="42" s="1"/>
  <c r="J38" i="35"/>
  <c r="J38" i="36"/>
  <c r="I27" i="35" l="1"/>
  <c r="E77" i="18" l="1"/>
  <c r="F62" i="36"/>
  <c r="K27" i="35"/>
  <c r="J27" i="35" s="1"/>
  <c r="K23" i="36"/>
  <c r="Q23" i="36" l="1"/>
  <c r="F80" i="18"/>
  <c r="Q27" i="35"/>
  <c r="F77" i="18"/>
  <c r="K28" i="36"/>
  <c r="F81" i="18" s="1"/>
  <c r="K45" i="35"/>
  <c r="Q44" i="36" l="1"/>
  <c r="Q28" i="36"/>
  <c r="K17" i="36"/>
  <c r="K38" i="36"/>
  <c r="K33" i="36"/>
  <c r="G62" i="36"/>
  <c r="Q16" i="36"/>
  <c r="I32" i="35"/>
  <c r="I36" i="35"/>
  <c r="D48" i="35"/>
  <c r="D51" i="35" s="1"/>
  <c r="D49" i="35"/>
  <c r="D52" i="35" s="1"/>
  <c r="I19" i="35"/>
  <c r="I35" i="35"/>
  <c r="K13" i="35"/>
  <c r="I13" i="35" s="1"/>
  <c r="K34" i="35"/>
  <c r="I31" i="35"/>
  <c r="I28" i="35"/>
  <c r="K16" i="35"/>
  <c r="I16" i="35" s="1"/>
  <c r="I23" i="35"/>
  <c r="I39" i="35"/>
  <c r="I18" i="35"/>
  <c r="I41" i="35"/>
  <c r="I40" i="35"/>
  <c r="I17" i="35"/>
  <c r="K38" i="35"/>
  <c r="I38" i="35" s="1"/>
  <c r="I45" i="35"/>
  <c r="Q45" i="35" s="1"/>
  <c r="E17" i="42" l="1"/>
  <c r="D17" i="42"/>
  <c r="J33" i="36"/>
  <c r="F82" i="18"/>
  <c r="Q17" i="36"/>
  <c r="F79" i="18"/>
  <c r="Q38" i="35"/>
  <c r="H38" i="35"/>
  <c r="Q13" i="35"/>
  <c r="H13" i="35"/>
  <c r="Q16" i="35"/>
  <c r="H16" i="35"/>
  <c r="G77" i="18"/>
  <c r="H77" i="18" s="1"/>
  <c r="O76" i="18" s="1"/>
  <c r="Q33" i="36"/>
  <c r="K41" i="35"/>
  <c r="J41" i="35" s="1"/>
  <c r="K39" i="35"/>
  <c r="J39" i="35" s="1"/>
  <c r="K23" i="35"/>
  <c r="K18" i="35"/>
  <c r="J18" i="35" s="1"/>
  <c r="K35" i="35"/>
  <c r="J35" i="35" s="1"/>
  <c r="K40" i="35"/>
  <c r="J40" i="35" s="1"/>
  <c r="K32" i="35"/>
  <c r="J32" i="35" s="1"/>
  <c r="K17" i="35"/>
  <c r="I34" i="35"/>
  <c r="K28" i="35"/>
  <c r="J28" i="35" s="1"/>
  <c r="K36" i="35"/>
  <c r="K31" i="35"/>
  <c r="K19" i="35"/>
  <c r="J19" i="35" s="1"/>
  <c r="D49" i="36"/>
  <c r="D52" i="36" s="1"/>
  <c r="D48" i="36"/>
  <c r="D51" i="36" s="1"/>
  <c r="K45" i="36"/>
  <c r="Q45" i="36" s="1"/>
  <c r="F64" i="35"/>
  <c r="F63" i="35"/>
  <c r="H42" i="36"/>
  <c r="H42" i="35"/>
  <c r="Q76" i="18" l="1"/>
  <c r="D93" i="18"/>
  <c r="D40" i="18" s="1"/>
  <c r="K32" i="36" s="1"/>
  <c r="F17" i="42"/>
  <c r="I42" i="35"/>
  <c r="K42" i="35" s="1"/>
  <c r="J42" i="35" s="1"/>
  <c r="F64" i="36"/>
  <c r="G64" i="36" s="1"/>
  <c r="K13" i="36"/>
  <c r="G63" i="35"/>
  <c r="H21" i="35" s="1"/>
  <c r="I21" i="35" s="1"/>
  <c r="K21" i="35" s="1"/>
  <c r="J21" i="35" s="1"/>
  <c r="G64" i="35"/>
  <c r="H33" i="35" s="1"/>
  <c r="I33" i="35" s="1"/>
  <c r="K33" i="35" s="1"/>
  <c r="J33" i="35" s="1"/>
  <c r="I42" i="36"/>
  <c r="Q17" i="35"/>
  <c r="J17" i="35"/>
  <c r="Q31" i="35"/>
  <c r="J31" i="35"/>
  <c r="Q36" i="35"/>
  <c r="J36" i="35"/>
  <c r="Q23" i="35"/>
  <c r="J23" i="35"/>
  <c r="Q34" i="35"/>
  <c r="H34" i="35"/>
  <c r="Q18" i="35"/>
  <c r="Q39" i="35"/>
  <c r="Q41" i="35"/>
  <c r="Q14" i="35"/>
  <c r="Q28" i="35"/>
  <c r="Q19" i="35"/>
  <c r="Q40" i="35"/>
  <c r="Q35" i="35"/>
  <c r="Q32" i="35"/>
  <c r="Q43" i="35"/>
  <c r="F60" i="35"/>
  <c r="H30" i="35"/>
  <c r="F65" i="35" l="1"/>
  <c r="G65" i="35" s="1"/>
  <c r="H29" i="35" s="1"/>
  <c r="I29" i="35" s="1"/>
  <c r="K29" i="35" s="1"/>
  <c r="J29" i="35" s="1"/>
  <c r="I13" i="36"/>
  <c r="Q13" i="36" s="1"/>
  <c r="I30" i="35"/>
  <c r="K30" i="35" s="1"/>
  <c r="G60" i="35"/>
  <c r="H12" i="35" s="1"/>
  <c r="I12" i="35" s="1"/>
  <c r="J32" i="36"/>
  <c r="Q32" i="36"/>
  <c r="I38" i="36"/>
  <c r="Q21" i="35"/>
  <c r="Q42" i="35"/>
  <c r="Q33" i="35"/>
  <c r="F61" i="35" l="1"/>
  <c r="G61" i="35" s="1"/>
  <c r="H15" i="35" s="1"/>
  <c r="I15" i="35" s="1"/>
  <c r="K12" i="35"/>
  <c r="J12" i="35" s="1"/>
  <c r="H13" i="36"/>
  <c r="Q38" i="36"/>
  <c r="H38" i="36"/>
  <c r="Q30" i="35"/>
  <c r="J30" i="35"/>
  <c r="Q29" i="35"/>
  <c r="E83" i="18"/>
  <c r="H24" i="35" l="1"/>
  <c r="I24" i="35" s="1"/>
  <c r="K24" i="35" s="1"/>
  <c r="J24" i="35" s="1"/>
  <c r="Q12" i="35"/>
  <c r="K15" i="35"/>
  <c r="Q15" i="35" l="1"/>
  <c r="J15" i="35"/>
  <c r="Q24" i="35"/>
  <c r="G80" i="18" l="1"/>
  <c r="H80" i="18" s="1"/>
  <c r="G81" i="18"/>
  <c r="H81" i="18" s="1"/>
  <c r="G82" i="18"/>
  <c r="H82" i="18" s="1"/>
  <c r="G79" i="18"/>
  <c r="H79" i="18" s="1"/>
  <c r="G78" i="18"/>
  <c r="H78" i="18" s="1"/>
  <c r="K27" i="36" l="1"/>
  <c r="K42" i="36"/>
  <c r="K41" i="36"/>
  <c r="K21" i="36"/>
  <c r="K40" i="36"/>
  <c r="K20" i="36"/>
  <c r="K39" i="36"/>
  <c r="K19" i="36"/>
  <c r="K36" i="36"/>
  <c r="K18" i="36"/>
  <c r="K35" i="36"/>
  <c r="K34" i="36"/>
  <c r="K30" i="36"/>
  <c r="K29" i="36"/>
  <c r="K14" i="36"/>
  <c r="K12" i="36"/>
  <c r="K24" i="36"/>
  <c r="K31" i="36"/>
  <c r="F83" i="18"/>
  <c r="G83" i="18" s="1"/>
  <c r="H83" i="18" s="1"/>
  <c r="E40" i="18" s="1"/>
  <c r="K48" i="36" l="1"/>
  <c r="Q14" i="36"/>
  <c r="J14" i="36"/>
  <c r="Q34" i="36"/>
  <c r="J34" i="36"/>
  <c r="Q21" i="36"/>
  <c r="J21" i="36"/>
  <c r="Q29" i="36"/>
  <c r="J29" i="36"/>
  <c r="Q41" i="36"/>
  <c r="J41" i="36"/>
  <c r="Q39" i="36"/>
  <c r="J39" i="36"/>
  <c r="Q30" i="36"/>
  <c r="J30" i="36"/>
  <c r="Q18" i="36"/>
  <c r="J18" i="36"/>
  <c r="Q20" i="36"/>
  <c r="J20" i="36"/>
  <c r="Q40" i="36"/>
  <c r="J40" i="36"/>
  <c r="Q35" i="36"/>
  <c r="J35" i="36"/>
  <c r="Q31" i="36"/>
  <c r="J31" i="36"/>
  <c r="Q22" i="36"/>
  <c r="J22" i="36"/>
  <c r="Q24" i="36"/>
  <c r="J24" i="36"/>
  <c r="Q36" i="36"/>
  <c r="J36" i="36"/>
  <c r="Q42" i="36"/>
  <c r="J42" i="36"/>
  <c r="Q12" i="36"/>
  <c r="J12" i="36"/>
  <c r="Q19" i="36"/>
  <c r="J19" i="36"/>
  <c r="Q27" i="36"/>
  <c r="J27" i="36"/>
  <c r="F63" i="36" l="1"/>
  <c r="G63" i="36" s="1"/>
  <c r="F60" i="36"/>
  <c r="F65" i="36"/>
  <c r="J48" i="36"/>
  <c r="D8" i="40" s="1"/>
  <c r="G65" i="36" l="1"/>
  <c r="G60" i="36"/>
  <c r="F121" i="18"/>
  <c r="U122" i="18" s="1"/>
  <c r="O44" i="36" s="1"/>
  <c r="P44" i="36" s="1"/>
  <c r="F123" i="18"/>
  <c r="U123" i="18" s="1"/>
  <c r="D16" i="42" s="1"/>
  <c r="F119" i="18"/>
  <c r="U121" i="18" s="1"/>
  <c r="O44" i="35" s="1"/>
  <c r="P44" i="35" l="1"/>
  <c r="K44" i="35" s="1"/>
  <c r="J44" i="35" s="1"/>
  <c r="Q44" i="35" l="1"/>
  <c r="F62" i="35"/>
  <c r="G62" i="35" l="1"/>
  <c r="I48" i="36" l="1"/>
  <c r="Q48" i="36" s="1"/>
  <c r="F61" i="36"/>
  <c r="F59" i="36"/>
  <c r="G59" i="36" l="1"/>
  <c r="H37" i="36" s="1"/>
  <c r="I37" i="36" s="1"/>
  <c r="G61" i="36"/>
  <c r="H15" i="36" s="1"/>
  <c r="I15" i="36" s="1"/>
  <c r="K15" i="36" s="1"/>
  <c r="J15" i="36" s="1"/>
  <c r="H48" i="36"/>
  <c r="C8" i="40" s="1"/>
  <c r="H11" i="36" l="1"/>
  <c r="I11" i="36" s="1"/>
  <c r="K11" i="36" s="1"/>
  <c r="Q11" i="36" s="1"/>
  <c r="H25" i="36"/>
  <c r="I25" i="36" s="1"/>
  <c r="K25" i="36" s="1"/>
  <c r="J25" i="36" s="1"/>
  <c r="H26" i="36"/>
  <c r="I26" i="36" s="1"/>
  <c r="K26" i="36" s="1"/>
  <c r="J26" i="36" s="1"/>
  <c r="H43" i="36"/>
  <c r="I43" i="36" s="1"/>
  <c r="K43" i="36" s="1"/>
  <c r="J43" i="36" s="1"/>
  <c r="K37" i="36"/>
  <c r="J37" i="36" s="1"/>
  <c r="Q15" i="36"/>
  <c r="I49" i="36" l="1"/>
  <c r="Q43" i="36"/>
  <c r="Q37" i="36"/>
  <c r="Q26" i="36"/>
  <c r="Q25" i="36"/>
  <c r="K49" i="36"/>
  <c r="J49" i="36" s="1"/>
  <c r="D14" i="40" s="1"/>
  <c r="J11" i="36"/>
  <c r="H49" i="36" l="1"/>
  <c r="C14" i="40" s="1"/>
  <c r="F59" i="35" l="1"/>
  <c r="G59" i="35" s="1"/>
  <c r="I48" i="35"/>
  <c r="H48" i="35" s="1"/>
  <c r="C7" i="40" s="1"/>
  <c r="K48" i="35"/>
  <c r="J48" i="35" s="1"/>
  <c r="D7" i="40" s="1"/>
  <c r="Q11" i="35"/>
  <c r="H26" i="35" l="1"/>
  <c r="I26" i="35" s="1"/>
  <c r="H20" i="35"/>
  <c r="I20" i="35" s="1"/>
  <c r="H37" i="35"/>
  <c r="I37" i="35" s="1"/>
  <c r="H25" i="35"/>
  <c r="I25" i="35" s="1"/>
  <c r="Q48" i="35"/>
  <c r="I49" i="35" l="1"/>
  <c r="H49" i="35" s="1"/>
  <c r="C13" i="40" s="1"/>
  <c r="K25" i="35"/>
  <c r="J25" i="35" s="1"/>
  <c r="K37" i="35"/>
  <c r="J37" i="35" s="1"/>
  <c r="K20" i="35"/>
  <c r="Q20" i="35" s="1"/>
  <c r="K26" i="35"/>
  <c r="J26" i="35" s="1"/>
  <c r="Q26" i="35" l="1"/>
  <c r="Q25" i="35"/>
  <c r="J20" i="35"/>
  <c r="K49" i="35"/>
  <c r="Q37" i="35"/>
  <c r="J49" i="35" l="1"/>
  <c r="D13" i="40" s="1"/>
  <c r="D15" i="42" l="1"/>
  <c r="D20" i="42" s="1"/>
  <c r="E15" i="42"/>
  <c r="E20" i="42" l="1"/>
  <c r="F20" i="42" s="1"/>
  <c r="F15" i="42"/>
  <c r="C6" i="40"/>
  <c r="C12" i="40" l="1"/>
  <c r="D12" i="40" l="1"/>
  <c r="D6"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tc={CE9969F9-A9D6-44DD-AFB6-AA7B66E975E6}</author>
    <author>tc={C5262D09-8805-4D99-A635-A93A12C4E986}</author>
  </authors>
  <commentList>
    <comment ref="E6" authorId="0" shapeId="0" xr:uid="{CE9969F9-A9D6-44DD-AFB6-AA7B66E975E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note figures in this column for ‘Aluminium beverage cans’ reflect the raw data from Reloop which is for ‘Metal beverage cans’ and includes both aluminium and steel</t>
      </text>
    </comment>
    <comment ref="P83" authorId="1" shapeId="0" xr:uid="{C5262D09-8805-4D99-A635-A93A12C4E98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Rate calculated using the recycled tonnage and POM data found within source.</t>
      </text>
    </comment>
  </commentList>
</comments>
</file>

<file path=xl/sharedStrings.xml><?xml version="1.0" encoding="utf-8"?>
<sst xmlns="http://schemas.openxmlformats.org/spreadsheetml/2006/main" count="3309" uniqueCount="817">
  <si>
    <t xml:space="preserve">Global Beverage Recycling Dataset </t>
  </si>
  <si>
    <t>Overview</t>
  </si>
  <si>
    <t xml:space="preserve">Eunomia Research and Consulting Ltd. was commissioned by the International Aluminium Institute (IAI) to update previous work carried out in 2017 to establish the level of recycling achieved for different beverage packaging formats globally. 
The following dataset contains values for 'collected for recycling' and 'recycling' tonnages and rates for selected countries, and the calculated global rates, for aluminium cans, glass bottles, and PET beverage containers. The countries selected were chosen to cover 80% of the market share for each beverage container format.
</t>
  </si>
  <si>
    <t>Contents</t>
  </si>
  <si>
    <t>Tab</t>
  </si>
  <si>
    <t>Description</t>
  </si>
  <si>
    <t>Aluminium</t>
  </si>
  <si>
    <r>
      <t xml:space="preserve">The tab contains the POM, reported rates, collected for recycling tonnages, collected for recycling rates, recycling tonnages and recycling rates for </t>
    </r>
    <r>
      <rPr>
        <b/>
        <sz val="10"/>
        <color theme="1"/>
        <rFont val="Century Gothic"/>
        <family val="2"/>
      </rPr>
      <t>aluminium cans</t>
    </r>
    <r>
      <rPr>
        <sz val="10"/>
        <color theme="1"/>
        <rFont val="Century Gothic"/>
        <family val="2"/>
      </rPr>
      <t xml:space="preserve"> for the selected countries, along with an indication of data quality. This tab also includes proportions of materials separately collected and calculated loss rates for each country, calculated average regional rates, and the calculated global collected for recycling and recycling rates.  </t>
    </r>
  </si>
  <si>
    <t>Glass</t>
  </si>
  <si>
    <r>
      <t xml:space="preserve">The tab contains the POM, reported rates, collected for recycling tonnages, collected for recycling rates, recycling tonnages and recycling rates for </t>
    </r>
    <r>
      <rPr>
        <b/>
        <sz val="10"/>
        <color theme="1"/>
        <rFont val="Century Gothic"/>
        <family val="2"/>
      </rPr>
      <t>glass bottles</t>
    </r>
    <r>
      <rPr>
        <sz val="10"/>
        <color theme="1"/>
        <rFont val="Century Gothic"/>
        <family val="2"/>
      </rPr>
      <t xml:space="preserve"> for the selected countries, along with an indication of data quality. This tab also includes proportions of materials separately collected and calculated loss rates for each country, calculated average regional rates, and the calculated global collected for recycling and recycling rates.  </t>
    </r>
  </si>
  <si>
    <t>PET</t>
  </si>
  <si>
    <r>
      <t xml:space="preserve">The tab contains the POM, reported rates, collected for recycling tonnages, collected for recycling rates, recycling tonnages and recycling rates for </t>
    </r>
    <r>
      <rPr>
        <b/>
        <sz val="10"/>
        <color theme="1"/>
        <rFont val="Century Gothic"/>
        <family val="2"/>
      </rPr>
      <t>PET bottles</t>
    </r>
    <r>
      <rPr>
        <sz val="10"/>
        <color theme="1"/>
        <rFont val="Century Gothic"/>
        <family val="2"/>
      </rPr>
      <t xml:space="preserve"> for the selected countries, along with an indication of data quality. This tab also includes proportions of materials separately collected and calculated loss rates for each country, calculated average regional rates, and the calculated global collected for recycling and recycling rates.  </t>
    </r>
  </si>
  <si>
    <t>Sources</t>
  </si>
  <si>
    <t>Source of Data Point</t>
  </si>
  <si>
    <t>Key</t>
  </si>
  <si>
    <t>Data from Source</t>
  </si>
  <si>
    <t>Calculation based on data</t>
  </si>
  <si>
    <t>Calculation based on assumption</t>
  </si>
  <si>
    <t>Loss rate assumption applied</t>
  </si>
  <si>
    <t>Regional average used</t>
  </si>
  <si>
    <t>Data Quality</t>
  </si>
  <si>
    <t>Data Source</t>
  </si>
  <si>
    <t>Year of Data</t>
  </si>
  <si>
    <t>Materials Included Defined</t>
  </si>
  <si>
    <t>Type of Rate Defined</t>
  </si>
  <si>
    <t>Red</t>
  </si>
  <si>
    <t>Data from dubious source/original data source cannot be found</t>
  </si>
  <si>
    <t>Data over 5 years old</t>
  </si>
  <si>
    <t>Data source does not define what materials are included</t>
  </si>
  <si>
    <t>Data source does not define the type of rate</t>
  </si>
  <si>
    <t>Amber</t>
  </si>
  <si>
    <t>Data from academic literature or similar source</t>
  </si>
  <si>
    <t>Data between 3-5 years old</t>
  </si>
  <si>
    <t>Data source defines to some degree the materials included in the rate e.g. states plastic bottles but doesn't specify if this is PET only or all plastic bottles</t>
  </si>
  <si>
    <t>Data source defines to some degree the type of rate e.g. states the rate is collection rate but does not specific if this is from DRS only or all systems</t>
  </si>
  <si>
    <t xml:space="preserve">Green </t>
  </si>
  <si>
    <t>Data from government or similar source</t>
  </si>
  <si>
    <t>Data within the last 3 years</t>
  </si>
  <si>
    <t>Data source clearly defines materials included in value</t>
  </si>
  <si>
    <t>Data source clearly defines type of rate (i.e. collection, separated or recycled rate)</t>
  </si>
  <si>
    <t>POM Reloop Data Corrections</t>
  </si>
  <si>
    <t xml:space="preserve">Correcting for steel included in Reloop figures. </t>
  </si>
  <si>
    <t>Source: IAI provided figure for Europe</t>
  </si>
  <si>
    <t>Assumed the proportion of metal beverage containers that are steel use would be consistent globally</t>
  </si>
  <si>
    <t>Europe</t>
  </si>
  <si>
    <t>China</t>
  </si>
  <si>
    <t>Other</t>
  </si>
  <si>
    <t>Proportion of metal beverage containers that are steel</t>
  </si>
  <si>
    <t>Alternative sources</t>
  </si>
  <si>
    <t>Where alternative sources to Reloop for POM information were found, the quality of these sources were assessed to determine if these should replace the Reloop provided data. The below table lists the alternative sources that have been used for POM</t>
  </si>
  <si>
    <t>Material</t>
  </si>
  <si>
    <t>Country</t>
  </si>
  <si>
    <t>Reloop POM (tonnes)</t>
  </si>
  <si>
    <t>Alternative Source POM (tonnes)</t>
  </si>
  <si>
    <t>% Difference</t>
  </si>
  <si>
    <t>Source</t>
  </si>
  <si>
    <t>Reason Alternative Source Used</t>
  </si>
  <si>
    <t>Aluminium (Reloop data corrected for steel)</t>
  </si>
  <si>
    <t>Antiake</t>
  </si>
  <si>
    <t>IAI thought Reloop too low. Antiake a reliable source for data, and used in previous project</t>
  </si>
  <si>
    <t>Brazil</t>
  </si>
  <si>
    <t>Recicla Latas</t>
  </si>
  <si>
    <t>Figures provided by IAI. Annual reports of sales and recycling tonnages</t>
  </si>
  <si>
    <t xml:space="preserve">Metal Packaging Europe and European Aluminium </t>
  </si>
  <si>
    <t>Figures provided by IAI as most accurate source</t>
  </si>
  <si>
    <t>Japan</t>
  </si>
  <si>
    <t>Japan Aluminium Can Recycling Association</t>
  </si>
  <si>
    <t>Figures provided by IAI with local input</t>
  </si>
  <si>
    <t>US</t>
  </si>
  <si>
    <t>IAI provided figures</t>
  </si>
  <si>
    <t>Figures provided by IAI with data quality assurance</t>
  </si>
  <si>
    <t>Provided by IAI. Derived from various sources including Eurostat</t>
  </si>
  <si>
    <t>South Africa</t>
  </si>
  <si>
    <t xml:space="preserve">Vivier, Tyler Leigh. 2018. ‘9 Facts You Might Not Know about Returnable Glass Bottles in South Africa’. Good Things Guy. </t>
  </si>
  <si>
    <t xml:space="preserve">Data provided by Reloop equated to 60 kg/capita glass bottles produced, which was much higher than expected (e.g. European countries have ~29 kg/capita glass). Eunomia's estimate from a previous study (580,000 tonnes) equated to 8 kg/capita, which excludes returnable glass. Research indicated that approximately two thirds of glass bottles used are returnable, and the source used suggested only 0.8 million tonnes glass is produced annually. This figure was chosen as a mid-point equating to 13 kg/capita glass produced. </t>
  </si>
  <si>
    <t>PET MARKET IN EUROPE STATE OF PLAY</t>
  </si>
  <si>
    <t>Official source, provided by IAI. Specifies tonnes are beverage PET bottles only</t>
  </si>
  <si>
    <t>NAPCOR. 2024. ‘2023 US PET Bottle Recycling Rate Reaches Highest Level in Decades; Recycled PET Content in US Bottles Reaches Highest Level Ever’</t>
  </si>
  <si>
    <t>2023 Figures from NAPCOR. Includes all PET bottles but is still a lower estimate than Reloop tonnages</t>
  </si>
  <si>
    <t>Global POM</t>
  </si>
  <si>
    <t>Reloop</t>
  </si>
  <si>
    <t>Reloop corrected for steel</t>
  </si>
  <si>
    <t>Figures Used 
(Reloop and Alternative Sources)</t>
  </si>
  <si>
    <t>Loss Rate Estimates</t>
  </si>
  <si>
    <t>Where individual country loss rates were not available, loss rates were applied to countries based on the data available and their predominant collection style</t>
  </si>
  <si>
    <t>Separate collections</t>
  </si>
  <si>
    <t>Mixed collections</t>
  </si>
  <si>
    <t>Average Loss Rate (NOT USED as explained in report)</t>
  </si>
  <si>
    <t>All Materials - Loss Rates</t>
  </si>
  <si>
    <t>Source: IAI/Eunomia Report</t>
  </si>
  <si>
    <t>https://international-aluminium.org/resources/aluminium-beverage-can-study/</t>
  </si>
  <si>
    <t>Loss Rate</t>
  </si>
  <si>
    <t>Notes</t>
  </si>
  <si>
    <t>Data quality</t>
  </si>
  <si>
    <t>Brazil, China, Europe, Japan and the USA</t>
  </si>
  <si>
    <t>Based on losses post collection in sorting, reprocessing and thermal processing</t>
  </si>
  <si>
    <t>No data for China or Brazil so Europe values used for those countries</t>
  </si>
  <si>
    <t xml:space="preserve">Sorting losses </t>
  </si>
  <si>
    <t>Delacquering and contamination losses</t>
  </si>
  <si>
    <t>Remelting losses</t>
  </si>
  <si>
    <t>Total loss rate (remelted aluminium)</t>
  </si>
  <si>
    <t>USA</t>
  </si>
  <si>
    <t>Assumes no reprocessing losses for exported materials</t>
  </si>
  <si>
    <t>Based on European loss rates applied to non-DRS collected material</t>
  </si>
  <si>
    <t>Average</t>
  </si>
  <si>
    <t>Glass Loss Rates</t>
  </si>
  <si>
    <t>Source: Zero Waste Europe, How Circular is Glass</t>
  </si>
  <si>
    <t>https://zerowasteeurope.eu/wp-content/uploads/2022/09/HOW-CIRCULAR-IS-GLASS.pdf</t>
  </si>
  <si>
    <t>Collected ktonnes</t>
  </si>
  <si>
    <t>Recycled ktonnes</t>
  </si>
  <si>
    <t>Loss (ktonnes)</t>
  </si>
  <si>
    <t>Loss rate</t>
  </si>
  <si>
    <t>Germany</t>
  </si>
  <si>
    <t>France</t>
  </si>
  <si>
    <t>UK</t>
  </si>
  <si>
    <t>Total</t>
  </si>
  <si>
    <t>PET Loss Rates</t>
  </si>
  <si>
    <t>Year</t>
  </si>
  <si>
    <t>Input to recycling facility 2020 (t)</t>
  </si>
  <si>
    <t>Flake produced 2020 (t)</t>
  </si>
  <si>
    <t>Loss (t)</t>
  </si>
  <si>
    <t xml:space="preserve">Loss Rate </t>
  </si>
  <si>
    <t>Link</t>
  </si>
  <si>
    <t>Proportion Separately Collected (based on glass)</t>
  </si>
  <si>
    <t>Proportion Collected Mixed  (based on glass)</t>
  </si>
  <si>
    <t>Assumed Loss Rate for PET Collected Mixed</t>
  </si>
  <si>
    <t>Calculated Loss Rate for PET Separately Collected</t>
  </si>
  <si>
    <t>Overall Loss rate</t>
  </si>
  <si>
    <t>Europe (EU27+3)</t>
  </si>
  <si>
    <t>Europe and Central Asia</t>
  </si>
  <si>
    <t>Independent Commodity Intelligence Services (ICIS), 2022, PET MARKET IN EUROPE STATE OF PLAY PRODUCTION, COLLECTION  &amp; RECYCLING DATA 2022</t>
  </si>
  <si>
    <t>PET-plastic-Market-in-Europe-State-of-Play-Production-Collection-Recycling-Data_2022.pdf</t>
  </si>
  <si>
    <t>Based on total PET input to recycler and total output</t>
  </si>
  <si>
    <t>North America</t>
  </si>
  <si>
    <t>NAPCOR. 2024. ‘2023 US PET Bottle Recycling Rate Reaches Highest Level in Decades; Recycled PET Content in US Bottles Reaches Highest Level Ever’. NAPCOR (blog). Accessed 15 May 2025. https://napcor.com/news/2023-pet-bottle-recycling-reach-new-heights/.</t>
  </si>
  <si>
    <t>https://napcor.com/news/2023-pet-bottle-recycling-reach-new-heights/</t>
  </si>
  <si>
    <t>Loss rate based on calculation by IAI, this is based on NAPCOR 2023 collected values, plus historic loss rates applied in previous NAPCOR reports</t>
  </si>
  <si>
    <t>Canada</t>
  </si>
  <si>
    <t>Eunomia. 2024. "Achieving 90% Recovery of Plastic Beverage Containers".</t>
  </si>
  <si>
    <t xml:space="preserve">https://www.recyclingnetwork.ca/?AA=Download&amp;AT=106&amp;AD=6,Dlf1
</t>
  </si>
  <si>
    <t>Calculated loss rates based on DRS and kerbside loss rates per Province. 80% yield aligns with Canada-wide Plastic Packaging Waste Flows (2024) yield for PET beverage containers (p27 Table 10) 
https://plasticspact.ca/wp-content/uploads/2025/05/Canada-wide-Plastic-Packaging-Flows-2024-Progress-Report-Canada-Plastics-Pact.pdf</t>
  </si>
  <si>
    <t>Chile</t>
  </si>
  <si>
    <t>Latin America and Caribbean</t>
  </si>
  <si>
    <t>Calculated from collection and recycling rates from separate sources</t>
  </si>
  <si>
    <t>India</t>
  </si>
  <si>
    <t>South Asia</t>
  </si>
  <si>
    <t>2021-22</t>
  </si>
  <si>
    <t>India Plastics Pact. 2022. 'Material Flow of PET used in Packaging Applications in India for the year 2021 - 22'.</t>
  </si>
  <si>
    <t>https://www.indiaplasticspact.org/uploads/1703753076document.pdf</t>
  </si>
  <si>
    <t>Calculated from collection and recycling rates in same source. Recycling rates are based on outputs from recyclers so account for all losses</t>
  </si>
  <si>
    <t>East Asia and Pacific</t>
  </si>
  <si>
    <t>PET Bottle Recycling Promotion Council, 2024, PET Bottle Recycling
Annual Report 2024</t>
  </si>
  <si>
    <t>https://www.petbottle-rec.gr.jp/nenji/2024/2024.pdf</t>
  </si>
  <si>
    <t>Loss rate based on difference between recovered tonnes and recycled tonnes in same source (process loss =48kt)
Eunomia used 10% in previous report</t>
  </si>
  <si>
    <t>Pakistan</t>
  </si>
  <si>
    <t>Global Plastic Action Partnership, 2024, Pakistan’s National Plastic Action Partnership National action roadmap to reduce plastic pollution</t>
  </si>
  <si>
    <t>https://weforum.ent.box.com/s/97krhj458erx9x3a64vpn5uaafr2wo8w</t>
  </si>
  <si>
    <t>Only 44% to 68% of collected and sorted plastics are actually recycled. Assumed the highest rate for bottles. Low recycling yields are attributable to outdated processes and equipment and insufficient funds to invest in new equipment or research into alternative approaches</t>
  </si>
  <si>
    <t>Mixed and Separate Collections</t>
  </si>
  <si>
    <t>Mix of separate and mixed collections</t>
  </si>
  <si>
    <t>Where data available</t>
  </si>
  <si>
    <t>Australia</t>
  </si>
  <si>
    <t>Source: Reloop, 2024, Global Deposit Book 2024</t>
  </si>
  <si>
    <t>https://www.reloopplatform.org/global-deposit-book/</t>
  </si>
  <si>
    <t>Kerbside materials seem to be collected mixed</t>
  </si>
  <si>
    <t>Australian  Capital Territory</t>
  </si>
  <si>
    <t>New South Wales</t>
  </si>
  <si>
    <t>Queensland</t>
  </si>
  <si>
    <t xml:space="preserve">Western  Australia </t>
  </si>
  <si>
    <t>Overall</t>
  </si>
  <si>
    <t>Proportion separately collected through DRS</t>
  </si>
  <si>
    <t>Collected via DRS (%)</t>
  </si>
  <si>
    <t>Collected via kerbside (%)</t>
  </si>
  <si>
    <t>California</t>
  </si>
  <si>
    <t>Connecticut</t>
  </si>
  <si>
    <t>Hawaii</t>
  </si>
  <si>
    <t>Iowa</t>
  </si>
  <si>
    <t>Maine</t>
  </si>
  <si>
    <t>Massachusetts</t>
  </si>
  <si>
    <t>Michigan</t>
  </si>
  <si>
    <t>New York</t>
  </si>
  <si>
    <t>Oregon</t>
  </si>
  <si>
    <t>Vermont</t>
  </si>
  <si>
    <t>Total with DRS</t>
  </si>
  <si>
    <t>USA Total</t>
  </si>
  <si>
    <t>Population (million) 2023</t>
  </si>
  <si>
    <t>Reloop Global Deposit Book 2024, World Bank</t>
  </si>
  <si>
    <t>Access to DRS</t>
  </si>
  <si>
    <t>Assumed those without access to DRS have material collected mixed</t>
  </si>
  <si>
    <t>Newfoundland</t>
  </si>
  <si>
    <t>Alberta</t>
  </si>
  <si>
    <t>BC</t>
  </si>
  <si>
    <t>Newfoundland and Labrador</t>
  </si>
  <si>
    <t>New Brunswick</t>
  </si>
  <si>
    <t>Northwest Territories</t>
  </si>
  <si>
    <t>Nova Scotia</t>
  </si>
  <si>
    <t>Ontario</t>
  </si>
  <si>
    <t>Prince Edward Island</t>
  </si>
  <si>
    <t>Quebec</t>
  </si>
  <si>
    <t>Saskatchewan</t>
  </si>
  <si>
    <t>Yukon</t>
  </si>
  <si>
    <t>Canada Total</t>
  </si>
  <si>
    <t xml:space="preserve">Source: Close the Glass Loop (2023) The performance  of packaging glass  recycling in Europe </t>
  </si>
  <si>
    <t>https://closetheglassloop.eu/wp-content/uploads/2023/05/Packaging-Glass-Recycling-in-Europe-Performance-Report-2023.pdf</t>
  </si>
  <si>
    <t xml:space="preserve">Most countries offer separate collections at the kerbside </t>
  </si>
  <si>
    <t>Source of Glass</t>
  </si>
  <si>
    <t>Austria</t>
  </si>
  <si>
    <t>Belgium</t>
  </si>
  <si>
    <t>Bulgaria</t>
  </si>
  <si>
    <t>Croatia</t>
  </si>
  <si>
    <t>Cyprus</t>
  </si>
  <si>
    <t>Czech Republic</t>
  </si>
  <si>
    <t>Denmark</t>
  </si>
  <si>
    <t>Estonia</t>
  </si>
  <si>
    <t>Finland</t>
  </si>
  <si>
    <t>Greece</t>
  </si>
  <si>
    <t>Hungary</t>
  </si>
  <si>
    <t>Republic of Ireland</t>
  </si>
  <si>
    <t>Italy</t>
  </si>
  <si>
    <t>Latvia</t>
  </si>
  <si>
    <t>Lithuania</t>
  </si>
  <si>
    <t>Luxembourg</t>
  </si>
  <si>
    <t>Malta</t>
  </si>
  <si>
    <t>Netherlands</t>
  </si>
  <si>
    <t>Poland</t>
  </si>
  <si>
    <t>Portugal</t>
  </si>
  <si>
    <t>Romania</t>
  </si>
  <si>
    <t>Slovakia</t>
  </si>
  <si>
    <t>Slovenia</t>
  </si>
  <si>
    <t>Spain</t>
  </si>
  <si>
    <t>Sweden</t>
  </si>
  <si>
    <t>Norway</t>
  </si>
  <si>
    <t>Switzerland</t>
  </si>
  <si>
    <t>United Kingdom</t>
  </si>
  <si>
    <t>Proportion not sourced from MRF</t>
  </si>
  <si>
    <t>Weighted average</t>
  </si>
  <si>
    <t>Population &gt;</t>
  </si>
  <si>
    <t>Proportion of Population &gt;</t>
  </si>
  <si>
    <t>National municipal waste collectors</t>
  </si>
  <si>
    <t>NA</t>
  </si>
  <si>
    <t>MRF</t>
  </si>
  <si>
    <t>Other (separate)</t>
  </si>
  <si>
    <t>Mexico</t>
  </si>
  <si>
    <t>Source: WtERT, Current State of Waste Management in Mexico City</t>
  </si>
  <si>
    <t>https://www.wtert.net/paper/4414/Current-State-of-Waste-Management-in-Mexico-City.html</t>
  </si>
  <si>
    <t>collection type</t>
  </si>
  <si>
    <t>% contribution</t>
  </si>
  <si>
    <t>location</t>
  </si>
  <si>
    <t>Quote from source</t>
  </si>
  <si>
    <t>All Materials</t>
  </si>
  <si>
    <t>Mixed collection</t>
  </si>
  <si>
    <t>Mexico City</t>
  </si>
  <si>
    <t>For the recycling process, the city counts on 2,800 collection trucks, of which, after a pre-selection process on the trucks, the amount collected adds up to around 1,400 tons per day. In addition, three recycling plants implement manual and mechanical sorting of waste, processing of 500 tons per day.</t>
  </si>
  <si>
    <t>Separate collection</t>
  </si>
  <si>
    <t>MERCH, The Complete Guide to Aluminium Recycling Process in India</t>
  </si>
  <si>
    <t>https://wemerchx.com/blog-aluminum-recycling-process-india.html</t>
  </si>
  <si>
    <t>National</t>
  </si>
  <si>
    <t>Kabadiwallas (waste pickers and small-scale collectors) form the backbone of India's recycling collection system, responsible for collected an estimated 60-70% of domestically recycled aluminium.</t>
  </si>
  <si>
    <t>Global rates</t>
  </si>
  <si>
    <t>Global rates calculated using only countries with available data.</t>
  </si>
  <si>
    <t>Beverage container format</t>
  </si>
  <si>
    <t>Collected for recycling rates (%)</t>
  </si>
  <si>
    <t>Recycling rates (%)</t>
  </si>
  <si>
    <t xml:space="preserve">Aluminium cans </t>
  </si>
  <si>
    <t>Glass bottles</t>
  </si>
  <si>
    <t>PET bottles</t>
  </si>
  <si>
    <t xml:space="preserve">Global rates calculated using countries with available data and countries using regional averages. </t>
  </si>
  <si>
    <t>Region (World Bank Regions)</t>
  </si>
  <si>
    <t>Reported Rate</t>
  </si>
  <si>
    <t>Description of Reported Rate</t>
  </si>
  <si>
    <t>Adjustment Made to Reported Rate to Calculate Recycling Rate</t>
  </si>
  <si>
    <t>Collected for Recycling Rate</t>
  </si>
  <si>
    <t>Collected for Recycling Tonnes</t>
  </si>
  <si>
    <t>Recycled Rate</t>
  </si>
  <si>
    <t>Recycled Tonnes</t>
  </si>
  <si>
    <t>Rationale for data quality score</t>
  </si>
  <si>
    <t>Proportion of material separately collected</t>
  </si>
  <si>
    <t>Proportion of material collected in mixed streams</t>
  </si>
  <si>
    <t>Calculated loss rate</t>
  </si>
  <si>
    <t>Algeria</t>
  </si>
  <si>
    <t>Middle East and North Africa</t>
  </si>
  <si>
    <t>None</t>
  </si>
  <si>
    <t>n/a</t>
  </si>
  <si>
    <t>No data found</t>
  </si>
  <si>
    <t xml:space="preserve">No data available. MSW composition gave negative recycling rates for aluminium packaging and PET (i.e., residual tonnages were greater than Reloop POM value). </t>
  </si>
  <si>
    <t>limited recycling dominated by informal sector,</t>
  </si>
  <si>
    <t>Argentina</t>
  </si>
  <si>
    <t xml:space="preserve">No description provided in source, but assumed the reported rate is the post-sorting recycling rate. 
A 91% rate also reported in a separate source and has been assumed to be the collected for recycling rate. </t>
  </si>
  <si>
    <t>Reported as 'Recovery rate', assumed recycling rate as it is calculated post sorting and includes sorting losses.
The same source has a collection rate (including DRS and separate collections) of 78%. 
A separate source also reported a 64% recycling rate, based on outputs from the secondary reprocessor. Assumed to mean ready for sheet and not presented here.</t>
  </si>
  <si>
    <t>Numerator is purchase of scrap cans (domestic) by recyclers + export of scrap cans. Method described by Abralata for 2022 data</t>
  </si>
  <si>
    <t>Data based on glass returned to industry, limited recycling dominated by informal sector</t>
  </si>
  <si>
    <t>Cambodia</t>
  </si>
  <si>
    <t xml:space="preserve">The definition of "recovery rate" in source states the calculation point is usually measured at the gate of the remelter (therefore excluding losses for delacquering and remelting). </t>
  </si>
  <si>
    <t xml:space="preserve">Definition in source states that the recycling rate is the amount of beverage container material used in the recycling process (excluding EfW) expressed as a percentage of the amount of beverage container material placed on the market, excluding exports. The RR takes into account the weight of materials rejected due to contamination. </t>
  </si>
  <si>
    <t>Formal separate collection</t>
  </si>
  <si>
    <t xml:space="preserve">Reported as "Tasa de valorización". In the context of waste management, this refers to the percentage of waste that is diverted from landfills and either reused, recycled, or converted into energy or other valuable resources. </t>
  </si>
  <si>
    <t>Processing losses (sorting losses if collected in mixed stream, contamination losses) applied to collected for recycling rate to give recycling rate in column J</t>
  </si>
  <si>
    <t>Material level, not beverage specific.
No clear on methodology; could include a lot of containers destined for EfW.
Recycled tonnage calculated using Reloop POM and recycling rate in source.</t>
  </si>
  <si>
    <t>dominated by informal sector</t>
  </si>
  <si>
    <t>The weight of beverage containers collected expressed as a percentage of the weight PoM; this includes collection via separate collections and bring banks (non DRS).</t>
  </si>
  <si>
    <t>Colombia</t>
  </si>
  <si>
    <t>Egypt</t>
  </si>
  <si>
    <t xml:space="preserve">Reported as recycling rate. No method provided in source, but assumed the reported rate is the recycling rate. </t>
  </si>
  <si>
    <t>Ethiopia</t>
  </si>
  <si>
    <t>Sub-Sharan Africa</t>
  </si>
  <si>
    <t>EU definition of recycling rate: sorted metal that does not undergo further processing before entering a metal smelter or furnace</t>
  </si>
  <si>
    <t>Reported as collected for recycling.</t>
  </si>
  <si>
    <t>Indonesia</t>
  </si>
  <si>
    <t>Iran</t>
  </si>
  <si>
    <t>MSW composition at material level (glass, PET, metal) gave negative recycling rates</t>
  </si>
  <si>
    <t>limited recycling, dominated by informal sector</t>
  </si>
  <si>
    <t>Iraq</t>
  </si>
  <si>
    <t>MSW composition at material level (glass, plastic, aluminium) gave negative recycling rates</t>
  </si>
  <si>
    <t>Israel</t>
  </si>
  <si>
    <t>Numerator is number of units collected through DRS.</t>
  </si>
  <si>
    <r>
      <t xml:space="preserve">
The collection rate is the same for all 3 materials.</t>
    </r>
    <r>
      <rPr>
        <b/>
        <sz val="10"/>
        <rFont val="Century Gothic"/>
        <family val="2"/>
      </rPr>
      <t xml:space="preserve">
</t>
    </r>
    <r>
      <rPr>
        <sz val="10"/>
        <rFont val="Century Gothic"/>
        <family val="2"/>
      </rPr>
      <t xml:space="preserve">
Collected tonnage calculated using Reloop POM and collected rate in source.
</t>
    </r>
  </si>
  <si>
    <t>limited recycling, but what is recycled is separated at source</t>
  </si>
  <si>
    <t>Reported as 'recycling rate' but no information on method. Assumed collected for recycling rate as looks to be delivered to resource recovery company tonnages.</t>
  </si>
  <si>
    <t>Kazakhstan</t>
  </si>
  <si>
    <t>MSW composition found was too poor to infer beverage container recycling tonnages</t>
  </si>
  <si>
    <t>Does not have significant informal sector and there is no evidence of formal separation at source</t>
  </si>
  <si>
    <t>Malaysia</t>
  </si>
  <si>
    <t>has large informal collection dealing with recyclables</t>
  </si>
  <si>
    <t>Reported as 'packaging recovery rate'. Numerator is the quantity of packaging recovered from a material, denominator is the quantity used for packaging and containers made from the material.</t>
  </si>
  <si>
    <t>Nigeria</t>
  </si>
  <si>
    <t>Peru</t>
  </si>
  <si>
    <t>Philippines</t>
  </si>
  <si>
    <t>Russia</t>
  </si>
  <si>
    <t>predominantly sorted in MRFs, though there is some informal collection.</t>
  </si>
  <si>
    <t>Saudi Arabia</t>
  </si>
  <si>
    <t>No method provided. Assumed collected for recycling rate</t>
  </si>
  <si>
    <t>limited household separation, limited recycling facilities, most recycling sorted by informal sector</t>
  </si>
  <si>
    <t>Low estimate of POM = 45,000 tonnes
High estimate of POM = 54,000tonnes
Recycling tonnes = 30,000 tonnes</t>
  </si>
  <si>
    <t xml:space="preserve">Recycling rate calculated based on tonnages within the source. 
Total POM (based on midpoint values of low/high range from material flow analysis data) (49,500 tonnes).
Reported recycling tonnages based on MetPac recycling tonnage data. Assume exported tonnes recycled (30,000 tonnes).
49,500/30,000 = 61%.
Another source from 2015 reported a 'collection rate' of 72%. </t>
  </si>
  <si>
    <t>South Korea</t>
  </si>
  <si>
    <t>Reported as 'Recycling of EPR Packaging'. No method provided, therefore assumed collected rate.</t>
  </si>
  <si>
    <t>Official source - Korea Resource Circulation Service Agency</t>
  </si>
  <si>
    <t>Taiwan</t>
  </si>
  <si>
    <t>Returns through Coca-Cola DRS systems</t>
  </si>
  <si>
    <t>Thailand</t>
  </si>
  <si>
    <t>Mainly driven by informal sector</t>
  </si>
  <si>
    <t>Turkiye</t>
  </si>
  <si>
    <t xml:space="preserve">72,666 tonnes of 'back earned metal.
525,627 tonnes metal POM.
</t>
  </si>
  <si>
    <t>Numerator is reported as 'Back earned' tonnes. Denominator is POM value in source. Definition or calculation point of 'back earned' not specified.</t>
  </si>
  <si>
    <t>Packaging level. No method. Official site - Ministry of Environment, Urbanization and Climate Change</t>
  </si>
  <si>
    <t>United Arab Emirates</t>
  </si>
  <si>
    <t>United States</t>
  </si>
  <si>
    <t>The Aluminium Association Reported recycling rate. Numerator represents quantities of clean shredded scrap charged into melting furnaces. Denominator value inlcudes ink and lining</t>
  </si>
  <si>
    <t>Vietnam</t>
  </si>
  <si>
    <t>4% loss rate applied to collected for recycling rate to get recycling rate (input into re-melting) of 77%. 
Collected for recycling rate is 80%. A mid-estimate based on a literature review.</t>
  </si>
  <si>
    <t>Totals</t>
  </si>
  <si>
    <t>-</t>
  </si>
  <si>
    <t>Calculated global loss rates</t>
  </si>
  <si>
    <t>Region</t>
  </si>
  <si>
    <t>Number of Countries with Data</t>
  </si>
  <si>
    <t>Countries without data, where regional data was used</t>
  </si>
  <si>
    <t>Regional POM tonnages (only including POM from countries with data)</t>
  </si>
  <si>
    <t>Regional collected for recycling tonnages</t>
  </si>
  <si>
    <t>Regional collected for recycling rate</t>
  </si>
  <si>
    <t>Regional collected for recycling rate used for 3 countries</t>
  </si>
  <si>
    <t>Regional collected for recycling rate used for 2 countries</t>
  </si>
  <si>
    <t>Used for 2 countries</t>
  </si>
  <si>
    <t>Not needed - all countries had data</t>
  </si>
  <si>
    <t>Only 1 country in this region had data. Its collected for recycling and recycling rate is used for 2 countries other countries in the region.</t>
  </si>
  <si>
    <t>Regional collected for recycling rate used for 2 countries. India's recycling rate used for Pakistan.</t>
  </si>
  <si>
    <t>POM (tonnes)</t>
  </si>
  <si>
    <t xml:space="preserve">Reported as "Recovery rate". Assumed collected for recycling. </t>
  </si>
  <si>
    <t xml:space="preserve">Data from 2019/20. No method specified, outdated data, material level. </t>
  </si>
  <si>
    <t>limited recycling dominated by informal sector</t>
  </si>
  <si>
    <t>Using MSW composition to calculate glass in residual gave recycling rate of greater than 99.8% so was not used.</t>
  </si>
  <si>
    <t>1,105,000 tonnes of glass packaging POM.
761,000 tonnes of glass packaging recovered = 69% rate</t>
  </si>
  <si>
    <t>Glass packaging reprocessing facility operators (recovery data).
Rate calculated using the collected tonnage and POM data found within source.</t>
  </si>
  <si>
    <t>Reloop POM and source POM are very different.
Collected tonnages calculated using Reloop POM and collection rate from the source.</t>
  </si>
  <si>
    <t>78% collected through DRS, kerbside collections appear to be mixed</t>
  </si>
  <si>
    <t>Glass packaging recycling rate</t>
  </si>
  <si>
    <t>Direct contact with Associação Brasileira do Alumínio. No information on method - may be recycling rate.</t>
  </si>
  <si>
    <t>Recycling rate calculated using provincial recycling rates. Information on provincial calculation points not reported.</t>
  </si>
  <si>
    <t>Data from 2019. Some deposit programs were likely impacted by covid right after, so there could be some variation.
Only Ontario has curbside included as no DRS, but likely containers are collected in other curbside programs in other areas. 
Tonnages calculated using rates from source, and Reloop POM data.</t>
  </si>
  <si>
    <t>Majority DRS</t>
  </si>
  <si>
    <t>Data from 2019. Modelled figure based on assumptions. Clear method.</t>
  </si>
  <si>
    <t>2020 data and at packaging level.
Collection tonnages calculated using Reloop POM and collection rate from the source.</t>
  </si>
  <si>
    <t>MSW composition found was too high level to infer beverage container recycling tonnages.</t>
  </si>
  <si>
    <t>Collected for recycling rate, method not stated</t>
  </si>
  <si>
    <t>Collection rate and POM provided by IAI, calculated from national sources.</t>
  </si>
  <si>
    <t>Data from 2018
Recycled tonnages calculated using Reloop POM and recycling rate from the source.</t>
  </si>
  <si>
    <t>dominated by informal sector (nearly 100 per cent of all glass bottles manufactured in India are recycled (by informal sector))</t>
  </si>
  <si>
    <t>MSW composition at material level (glass, PET, metal) gave negative recycling rates.</t>
  </si>
  <si>
    <t>MSW composition at material level (glass, plastic, aluminium) gave negative recycling rates.</t>
  </si>
  <si>
    <t>Numerator is number of units collected through DRS</t>
  </si>
  <si>
    <t>Data provided by IAI contact</t>
  </si>
  <si>
    <t>Does not have significant informal sector and there is no evidence of formal separation at source, Mention of MRF sorting</t>
  </si>
  <si>
    <t>Total glass, not bottles and calculated based on tonnes sent for recycling and MSW composition</t>
  </si>
  <si>
    <t>separate glass bins, large informal sector</t>
  </si>
  <si>
    <t>Reported as 'Recovery  rate with respect to  its use in packaging' and assumed it is a collected for recycling rate. Numerator is the quantity of packaging recovered from a material, denominator is the quantity used for packaging and containers made from the material.</t>
  </si>
  <si>
    <t>No calculation methodology.
Collection tonnage calculated used Reloop POM.</t>
  </si>
  <si>
    <t>minimal household separation, but large contribution from informal sector</t>
  </si>
  <si>
    <t>No reported national rate.
Data for Lagos only found - scaled up on a per capita basis. Does not account for difference in rurality.
Local expert opinion is national recycling rates aren't publicly available</t>
  </si>
  <si>
    <t>No reported rate, recycling rate calculated from 2023 composition data for MSW and 2022 MSW generated data used.</t>
  </si>
  <si>
    <t>Article states recycling rate but no method provided so assumed a collected for recycling rate.</t>
  </si>
  <si>
    <t>Material level data only and there is no reference to original source.</t>
  </si>
  <si>
    <t xml:space="preserve">Article states recycling rate but no calculation point is provided so assumed  a collected for recycling rate. </t>
  </si>
  <si>
    <t>Material level data only. No calculation methodology.</t>
  </si>
  <si>
    <t>Low estimate of POM = 423,000 tonnes
High estimate of POM = 508,000 tonnes
Recycling tonnes = 141,000 tonnes</t>
  </si>
  <si>
    <t>Recycling rate calculated based on tonnages within the source. 
Total POM (based on midpoint values of low/high range from material flow analysis data) (466,000 tonnes).
Reported recycling tonnages (Estimate for single-use glass based on The Glass Recycling Company data) (141,000 tonnes).
141,000/466,000 = 30%.</t>
  </si>
  <si>
    <t>Midpoint used for the POM values in source to calculate the recycling rate% . Estimate for single-use glass based on The Glass Recycling Company data.</t>
  </si>
  <si>
    <t>Reported as 'Recycling of EPR Packaging', but no method provided, therefore assumed collected rate.</t>
  </si>
  <si>
    <t>Returns through DRS systems</t>
  </si>
  <si>
    <t>No calculation methodology and unclear if covers all Taiwan.</t>
  </si>
  <si>
    <t>Taipei has 'solid waste collections' for all containers</t>
  </si>
  <si>
    <t>Collected tons of cullet to be recycled. The amount collected is equivalent to 97 percent of returnable glass bottle products sold by ThaiBev in Thailand.</t>
  </si>
  <si>
    <t>Thai Bev company only</t>
  </si>
  <si>
    <t>Türkiye</t>
  </si>
  <si>
    <t>242,226 tonnes of glass 'back earned'.
1,742,759 tonnes of glass POM.</t>
  </si>
  <si>
    <t>Data pre-dates DRS introduced in 2025</t>
  </si>
  <si>
    <t>Recycling in the manufacture of new glass.</t>
  </si>
  <si>
    <t xml:space="preserve">Data from 2018. Bottle specific - Direct quote rather than actual figures. </t>
  </si>
  <si>
    <t>Source states recycling rate. Figures comes from Container Recycling Institute’s 2021 Beverage Market Data Analysis (BMDA). No method provided, but it is a credible source. Therefore, decided to report as a recycling.</t>
  </si>
  <si>
    <t>CRI data used. No clear method. Close to Eunomia value of 30%</t>
  </si>
  <si>
    <t>Recycling rate based on sorted glass cullet suitable for re-melt.
Collected for recycling rate in same source determined from interviews with reprocessors = 14.7%</t>
  </si>
  <si>
    <t xml:space="preserve">Estimates of recycled tonnes based off an interview with one recycler, extrapolated to other two plants known in Vietnam. </t>
  </si>
  <si>
    <t xml:space="preserve">Totals </t>
  </si>
  <si>
    <t>Regional collected for recycling rate used for 4 countries</t>
  </si>
  <si>
    <t>Regional collected for recycling rate used for 1 country</t>
  </si>
  <si>
    <t xml:space="preserve">Estimated that urban waste collectors in Buenos Aires divert 24% of total generated "live waste". Assumed "live waste" meaning MSW.  </t>
  </si>
  <si>
    <t>Collection rate : City level only (collection), Informal, Pre-2012 data, PET material level (not PET bottle specific)</t>
  </si>
  <si>
    <t xml:space="preserve">136,000 tonnes of PET Bottle or jar POM.
78,000 tonnes of PET Bottle or jars recovered. </t>
  </si>
  <si>
    <t>PET packaging recovery. Recovery (at a defined point) as a percentage of end-of-life disposal. Similar meaning to 'Recycling rate' but can include material into composting and energy recovery. Excludes reused products.
Rate calculated using the collected tonnage and POM data found within source</t>
  </si>
  <si>
    <t>Reloop POM and source POM are very different
Collected tonnages calculated using Reloop POM and  rate from the source.</t>
  </si>
  <si>
    <t xml:space="preserve">No reported rate. A contact at the Brazilian Association of the PET Industry gave a figure for recycled tonnes (which was divided by Reloop POM to get a rate). </t>
  </si>
  <si>
    <t xml:space="preserve">No reported rate. Rates calculated from recycled tonnes (found in source) and Reloop POM.
Unclear if this is actually bottles of PET packaging. If all packaging, tonnes could be overestimating rate. Direct contact with Associação Brasileira do Alumínio. </t>
  </si>
  <si>
    <t>Data deemed too poor to include.</t>
  </si>
  <si>
    <t>52% reported as " Recycling Rate". There is no consistent definition of recycling rate used in Canadian regulated recycling programs. For the report, Eunomia used the CSA standard definition for recycling.
65% is Reported as "Recovery Rate". The recovery rate represents all materials returned or collected from provincial programs with dedicated legislated beverage container recycling initiatives. There are various definitions used across provinces for a recovery rate.</t>
  </si>
  <si>
    <t>Green</t>
  </si>
  <si>
    <t xml:space="preserve">National recovery rate calculated using each province DRS and EPR annual reports. </t>
  </si>
  <si>
    <t xml:space="preserve">Recycling rate is 19%. There was no method provided in the source.
Collected for recycling rate is 28.9% as reported in another source. In this source the rate is reported as "Tasa de valorización". In the context of waste management, this refers to the percentage of waste that is diverted from landfills and either reused, recycled, or converted into energy or other valuable resources. </t>
  </si>
  <si>
    <t>Data from 2019. Conflicting sources. Clear method used. Based on assumptions.</t>
  </si>
  <si>
    <t>2020 data and no calculation methodology.
Collection tonnages calculated using Reloop POM and collection rate from the source.</t>
  </si>
  <si>
    <t xml:space="preserve">Reported as a 'packaging collection rate'. No calculation point provided. </t>
  </si>
  <si>
    <t>Material recycling rate is 30%, so likely PET bottles recycling rate will be higher. We went with CCHBC 2021 value, but this may overestimate overall bottle recycling.</t>
  </si>
  <si>
    <t>30-40%</t>
  </si>
  <si>
    <t xml:space="preserve">Reported as plastic wastes recycled or reused, but no method was provided so assumed it is a collected for recycling figure. </t>
  </si>
  <si>
    <t>Plastic material level data only. Poor source, no method or original source.</t>
  </si>
  <si>
    <t>Reported as 'sorted for recycling rate'. The volumes of material “sorted for recycling” have been estimated based on the input to recycler’s plants and a view of ICIS’s market experts on waste trade.</t>
  </si>
  <si>
    <t>Method clear, recent data</t>
  </si>
  <si>
    <t>64% is the output recycling rate; washed rPET flakes.
 80% is collected, sorted, baled, and sent to recyclers.</t>
  </si>
  <si>
    <t>Recent data, good source with calculation methods.
Collection/recycled tonnages calculated using Reloop POM and rates from the source</t>
  </si>
  <si>
    <t>Collected for recycling rate estimate based on coverage, consumption and informal sector involvement.</t>
  </si>
  <si>
    <t>Data from 2018.</t>
  </si>
  <si>
    <t>85% is the recycling rate with process losses accounted for
92.5% of PET bottles discarded by consumers are collected by municipalities and businesses</t>
  </si>
  <si>
    <t>Detail of collection and recycling rates given for PET bottles</t>
  </si>
  <si>
    <t xml:space="preserve">Reported as 'recycling rate', but no method provided, so assumed as collected for recycling rate. </t>
  </si>
  <si>
    <t>No method or reference to original source. Material level</t>
  </si>
  <si>
    <t>Contradictory studies</t>
  </si>
  <si>
    <t>Stated as 'amount recovered'. No method provided in source so it was assumed a collected for recycling rate.</t>
  </si>
  <si>
    <t>No calculation methodology</t>
  </si>
  <si>
    <t>No method provided. Assumed discarded PET bottles collected for recycling from households or disposal sites.</t>
  </si>
  <si>
    <t>Material Level, source from 2017
Local expert opinion is national recycling rates aren't publicly available
Collected for recycling tonnage calculated using Reloop POM and rates from source</t>
  </si>
  <si>
    <t>Plastic bottles collected and sorted by the informal sector.</t>
  </si>
  <si>
    <t>High collection rate due to informal collectors. Loss rates also provided in source. A recent source on plastic action</t>
  </si>
  <si>
    <t>Rate was not defined. Assumed a collected for recycling rate</t>
  </si>
  <si>
    <t>Only data found - based on text in thesis, but no method quoted</t>
  </si>
  <si>
    <t>Study says 21% for PET collected by junk shops etc - some method described. Contradictory study gives range of 35-65%</t>
  </si>
  <si>
    <t>dominated by informal sector, also some recyclable recovery programs (CCBPI)</t>
  </si>
  <si>
    <t xml:space="preserve">Article states recycling rate but no calculation point is provided so we have assumed it to be a collection rate. </t>
  </si>
  <si>
    <t>PET packaging level. No method given</t>
  </si>
  <si>
    <t>Low estimate of POM = 132,000 tonnes
High estimate of POM = 230,000 tonnes
Recycling tonnes = 64,000 tonnes</t>
  </si>
  <si>
    <t>Recycling rate calculated based on tonnages within the source. 
Total POM (based on midpoint values of low/high range from material flow analysis data) (181,000 tonnes).
Reported recycling tonnages (Based on Petco recycling tonnage data)(64,000 tonnes).
64,000/181,000 = 35%.</t>
  </si>
  <si>
    <t xml:space="preserve">Midpoint used for the POM values in source to calculate the recycling rate% . Recycling tonnes based on Petco recycling data
Collected rate based on EU loss rates (10%) </t>
  </si>
  <si>
    <t>Plastic is separated at source by residents</t>
  </si>
  <si>
    <t>Plastics mixed with other dry recyclables and separated at a MRF</t>
  </si>
  <si>
    <t xml:space="preserve">Conflicting sources. </t>
  </si>
  <si>
    <t>615,988 tonnes of plastic 'back earned'.
926,551 tonnes of plastic POM.</t>
  </si>
  <si>
    <t>Numerator is reported as 'Back earned' tonnes disposed of within the framework of the AAK Regulation. Denominator is POM value of packaging within the framework of the AAK Regulation. Definition or calculation point of 'back earned' not specified.</t>
  </si>
  <si>
    <t>Packaging rate assumed to also apply to PET bottles. No method. Official site - Ministry of Environment, Urbanization and Climate Change</t>
  </si>
  <si>
    <t xml:space="preserve">Data found was deemed too high level to use; material level only (total plastics not PET). Sources ranged between 4 and 7% plastics recycling. </t>
  </si>
  <si>
    <t>20% = PET bottle’s net recycling rate which measures the actual quantity of PET material recovered and available for further processing to make new products
PET bottle collection rate = 33%</t>
  </si>
  <si>
    <t>NAPCOR data robust. Calculations for recycling rate based on historic loss rates at state level</t>
  </si>
  <si>
    <t xml:space="preserve">Recycling rate (sorted, clean, dry flake) calculated from the collected rate by applying losses
Collection rates for PET containers  (50%)  based on literature review. </t>
  </si>
  <si>
    <t>Collection based on packaging and recycling based on EU loss rates</t>
  </si>
  <si>
    <t>Regional collected for recycling rate used for 5 countries</t>
  </si>
  <si>
    <t>Data Sources</t>
  </si>
  <si>
    <t>POM</t>
  </si>
  <si>
    <t>Collection Rate (%)</t>
  </si>
  <si>
    <t>Recycling Rate (%)</t>
  </si>
  <si>
    <t>Type of Container</t>
  </si>
  <si>
    <t>Source Reference</t>
  </si>
  <si>
    <t>Source Link</t>
  </si>
  <si>
    <t>Description of Rate in Source</t>
  </si>
  <si>
    <t>PET beverage containers</t>
  </si>
  <si>
    <t>Collection rates for PET containers.
Eunomia work references World Bank, but figure is based on whole literature review.</t>
  </si>
  <si>
    <t xml:space="preserve">Eunomia (2022) Beverage packaging in Vietnam Recycling rate &amp; recycling cost 
Norwegian Embassy in Hanoi, 2025, Scoping Study for a Nationwide Deposit Return System (DRS) in Vietnam </t>
  </si>
  <si>
    <t>https://cantocan.com.vn/recyclingratevn/images/vietnam-recycling-rate-and-cost-report-2022-by-eunomia-consultancy.pdf
https://www.norway.no/en/vietnam/norway-vietnam/news/drs-scoping-study-for-vietnam/</t>
  </si>
  <si>
    <t xml:space="preserve">Calculated rate from modelling (applying European loss rates). Reported as 'real recycling rate' which is defined as the proportion of material arising as waste in a given year that leaves the reprocessor (Sorted, clean, dry flake) and is incorporated into a new product, considers losses of material at sorting and reprocessing stages. </t>
  </si>
  <si>
    <t xml:space="preserve">Eunomia (2022) Beverage packaging in Vietnam Recycling rate &amp; recycling cost </t>
  </si>
  <si>
    <t>https://cantocan.com.vn/recyclingratevn/images/vietnam-recycling-rate-and-cost-report-2022-by-eunomia-consultancy.pdf</t>
  </si>
  <si>
    <t>Aluminium beverage containers</t>
  </si>
  <si>
    <t>Multiple</t>
  </si>
  <si>
    <t>Collected for recycling rate. A mid-estimate based on a literature review.</t>
  </si>
  <si>
    <t>No information on loss rates of material in reprocessing specific to Vietnam was provided.  Default loss rates for packaging material were, therefore, used. For aluminium cans, a 4% loss rate was applied to the collected for recycling rate.</t>
  </si>
  <si>
    <t>Glass beverage containers</t>
  </si>
  <si>
    <t>Collected for recycling rate determined from interviews with reprocessors = 14.7%</t>
  </si>
  <si>
    <t>Recycling rate based on sorted glass cullet suitable for re-melt.</t>
  </si>
  <si>
    <t>https://reciclalatas.com.br/mapa-da-reciclagem/#caderno</t>
  </si>
  <si>
    <t>The Metal Packager (2025) Brazil recycles 97.3% of aluminium cans in 2024</t>
  </si>
  <si>
    <t>https://metalpackager.com/2025/08/brazil-recycles-aluminium-cans/</t>
  </si>
  <si>
    <t>Direct contact with Associação Brasileira do Alumínio.</t>
  </si>
  <si>
    <t>Rate calculated by dividing recycled tonnes (found in source) by Reloop POM</t>
  </si>
  <si>
    <t>Brazilian Association of the PET Industry (Abipet)</t>
  </si>
  <si>
    <t xml:space="preserve">91% rate reported has been assumed to be the collected for recycling rate. </t>
  </si>
  <si>
    <t>Eunomia. 2024. Global Recycling League Table. Phase one Report
Original source : https://movimentocircular.io/en/blog/aluminum-and-circular-economy-successes-and-challenges</t>
  </si>
  <si>
    <t>https://www.reloopplatform.org/wp-content/uploads/2024/06/Global_Recycling_League_Table_Phase_1_Report.pdf
https://movimentocircular.io/en/blog/aluminum-and-circular-economy-successes-and-challenges</t>
  </si>
  <si>
    <t xml:space="preserve">No description provided in source, but assumed the reported rate is the recycling rate. </t>
  </si>
  <si>
    <t>Ball Cooperation. 2021. 'Toward a perfect circle: a circularity vision for the aluminium beverage can'.</t>
  </si>
  <si>
    <t>https://www.ball.com/getattachment/bc573eef-50d5-4bc2-bafc-78ce95af8a3a/TOWARDS-A-PERFECT-CIRCLE_2021-FULL-DOCUMENT-DOWNLOAD.pdf</t>
  </si>
  <si>
    <t>pre-2012</t>
  </si>
  <si>
    <t xml:space="preserve">CEAMSE, Fiuba. N.d. EVALUACION DE LA INCIDENCIA DE LOS ENVASES Y EMBALAJES EN EL FLUJO DE RSU (Evaluation of the Impact of packaging and packaging on the MSW Flow) </t>
  </si>
  <si>
    <t>https://cms.fi.uba.ar/uploads/T_T_aidis_chile_envases_embalajes_presentacion_final_e2a157e2e3.pdf</t>
  </si>
  <si>
    <t>2020-21</t>
  </si>
  <si>
    <t>Collection rates for DRS systems and separate collections</t>
  </si>
  <si>
    <t>Roland Berger. 2023. 'Aluminium Can Market Assessment - Australia'</t>
  </si>
  <si>
    <t>https://aluminium.org.au/wp-content/uploads/2023/10/231009-Aluminium-Cans-Market-Assessment-Australia.pdf</t>
  </si>
  <si>
    <t>Reported as 'Recovery rate', assumed recycling rate as it is calculated post sorting and includes sorting losses. 
A separate source also reported a 64% recycling rate, based on outputs from the secondary reprocessor. Assumed to mean ready for sheet.</t>
  </si>
  <si>
    <t>2022-23</t>
  </si>
  <si>
    <t>Glass packaging reprocessing facility operators (recovery data). Rate calculated using the recovered tonnage and POM data found within source.
Definition of recovery rate in source: Recovery (at a defined point) as a percentage of end-of-life disposal. Similar meaning to 'Recycling rate' but can include material into composting and energy recovery. Excludes reused products.</t>
  </si>
  <si>
    <t>APCO, Australia Packaging Consumption Recovery Data 2022-23</t>
  </si>
  <si>
    <t>https://documents.packagingcovenant.org.au/public-documents/APCO%20Australian%20Packaging%20Consumption%20and%20Recovery%20Data%202022-23</t>
  </si>
  <si>
    <t>Rate calculated using the PET packaging recovery tonnage and POM data found within source.  
Definition of recovery rate in source: Recovery (at a defined point) as a percentage of end-of-life disposal. Similar meaning to 'Recycling rate' but can include material into composting and energy recovery. Excludes reused products.</t>
  </si>
  <si>
    <t>Reported as "Recovery Rate". The recovery rate represents all materials returned or collected from provincial programs with dedicated legislated beverage container recycling initiatives. There are various definitions used across provinces for a recovery rate.</t>
  </si>
  <si>
    <t xml:space="preserve">Eunomia Research &amp; Consulting, Giroux Environmental Consulting, Millette Environmental. 2024. 'Achieving 90% Recovery of Plastic Beverage Containers'. </t>
  </si>
  <si>
    <t>https://www.recyclingnetwork.ca/?AA=Download&amp;AT=106&amp;AD=6,Dlf1</t>
  </si>
  <si>
    <t xml:space="preserve">Reported as " Recycling Rate". There is no consistent definition of recycling rate used in Canadian regulated recycling programs. For the report, Eunomia used the CSA standard definition for recycling; the reclamation of plastics (as polymer, monomer, or constituent chemical building blocks) in such a manner that they displace the primary or raw materials that are used as chemical building blocks in the production of plastics and plastic products and packaging.  </t>
  </si>
  <si>
    <t>Calculated using provincial recycling rates. Definition in source states that the recycling rate is the amount of beverage container material used in the recycling process (excluding EfW) expressed as a percentage of the amount of beverage container material placed on the market, excluding exports. The RR takes into account the weight of materials rejected due to contamination.</t>
  </si>
  <si>
    <t>CM Consulting. 2020. Who Pays What 2020.</t>
  </si>
  <si>
    <t>https://www.cmconsultinginc.com/wp-content/uploads/2021/02/WPW-2020-FINAL-JAN-30.pdf</t>
  </si>
  <si>
    <t>Calculated using provincial recycling rates. Information on provincial calculation points not reported.</t>
  </si>
  <si>
    <t>CM Consulting. 2019. Who Pays What 2020.</t>
  </si>
  <si>
    <t>National Association of the Recycling Industry (ANIR). 2024. 'ANIR presents recycling statistics in Chile for the sixth consecutive year: in 2023 there are high rates of recovery of aluminium and low rates for end-of-life tires'.</t>
  </si>
  <si>
    <t>https://anir.cl/Estudio2023/</t>
  </si>
  <si>
    <t>n.d.</t>
  </si>
  <si>
    <t>Recycling rate is 19%. There was no method provided in the source.</t>
  </si>
  <si>
    <t>Freddy, Walter. 2024. ‘The Most Recycled Plastics in Chile: A Step Towards Sustainability’. Mercado Circular (blog). 11 July 2024.</t>
  </si>
  <si>
    <t>https://www.mercadocircular.com/the-most-recycled-plastics-in-chile-a-step-towards-sustainability/</t>
  </si>
  <si>
    <t>Eunomia Material Flow Model Data - supplementary information</t>
  </si>
  <si>
    <t>LatitudR. 2020. ‘Análisis Del Reciclaje y La Circularidad de Envases En América Latina (Analysis of Recycling and Circularity of Packaging in Latin  America)’.</t>
  </si>
  <si>
    <t>https://latitudr.org/wp-content/uploads/2020/10/LatitudR_Circularidad_envases_AL_resumen.pdf.</t>
  </si>
  <si>
    <t>Not specified</t>
  </si>
  <si>
    <t>Coca-Cola HBC Egypt. Nd. "A More Sustainable Future".</t>
  </si>
  <si>
    <t>https://eg.coca-colahellenic.com/en/a-more-sustainable-future#accordion-d9afde0b6b-item-651f6b26d3</t>
  </si>
  <si>
    <t>TERI. 2022, Sustainable Beverage Packaging Options in India: A Comparative Life Cycle Assessment Study. New Delhi: The Energy and Resources Institute</t>
  </si>
  <si>
    <t>https://www.teriin.org/sites/default/files/2022-06/Sustainable%20Beverage%20Packaging%20Options%20in%20India%20-%20A%20Comparative%20Life%20Cycle%20Assessment%20Study_0.pdf</t>
  </si>
  <si>
    <t xml:space="preserve"> Collected, sorted, baled, and sent to recyclers.</t>
  </si>
  <si>
    <t>Output of recycling process; washed rPET flakes</t>
  </si>
  <si>
    <t>Collected for recycling, methodology not stated in source.</t>
  </si>
  <si>
    <t>National collected for recycling rate estimated based on data from the cities and the rural-urban composition of the country factoring waste collection coverage, consumption and informal sector involvement.</t>
  </si>
  <si>
    <t>GA Circular, 2019, Accelerating the Circular Economy for Post-Consumer PET Bottles in Southeast Asia</t>
  </si>
  <si>
    <t>https://www.gacircular.com/_files/ugd/d424f7_d612161763824d3b9fbbf00affea9a9f.pdf</t>
  </si>
  <si>
    <t xml:space="preserve">https://www.alumi-can.or.jp/ </t>
  </si>
  <si>
    <t xml:space="preserve">PET bottles discarded by consumers and collected by municipalities and businesses. </t>
  </si>
  <si>
    <t>PET Bottle Recycling Promotion Council. 2025. "PET Bottle Recycling Annual Report 2024."</t>
  </si>
  <si>
    <t xml:space="preserve">https://www.petbottle-rec.gr.jp/nenji/2024/2024.pdf </t>
  </si>
  <si>
    <t>Recycling rate with upstream recycling process loss taken into account.</t>
  </si>
  <si>
    <t>No method provided. Assumed collected for recycling rate.</t>
  </si>
  <si>
    <t>Glass Bottle 3R Promotion Council</t>
  </si>
  <si>
    <t xml:space="preserve">https://www.glass-3r.jp/data/pdf/data_05a.pdf?20250530 </t>
  </si>
  <si>
    <t>Switch Asia, 2024, PLASTIC POLICIES IN KAZAKHSTAN.</t>
  </si>
  <si>
    <t>https://www.switch-asia.eu/site/assets/files/4388/plastic_policies_kz_final.pdf
https://astanatimes.com/2021/09/kazakh-entrepreneurs-promote-eco-friendly-recycling-strategies-to-tackle-problem-of-plastic/</t>
  </si>
  <si>
    <t>Ecoce. n.d. 'Figures and Statistics'. Accessed 15 May 2025. https://www.ecoce.mx/cifras_y_estadisticas.</t>
  </si>
  <si>
    <t>https://www.ecoce.mx/cifras_y_estadisticas</t>
  </si>
  <si>
    <t>Reported as 'Recovery  rate with respect to  its use in packaging'. Numerator is the quantity of packaging recovered from a material, denominator is the quantity used for packaging and containers made from the material.</t>
  </si>
  <si>
    <t xml:space="preserve">Reported as a 'collection rate', no method provided. </t>
  </si>
  <si>
    <t>GRID-Arendal, GPML, IAWP. Just Transition of the Informal Recycling Sector-Case Studies. http://grida.no: GRID-Arendal, 2025.</t>
  </si>
  <si>
    <t>https://www.grida.no/publications/2255
https://gridarendal-website-live.s3.amazonaws.com/production/documents/:s_document/1958/original/South_africa_brief.pdf?1747728630</t>
  </si>
  <si>
    <t>published in 2024</t>
  </si>
  <si>
    <t>Aquilla Environmental, Eunomia Research &amp; Consulting, and The Moss Group. 2024. 'Researching a Deposit Return System for South Africa.'</t>
  </si>
  <si>
    <t>https://eunomia.eco/reports/researching-a-deposit-return-system-for-south-africa/</t>
  </si>
  <si>
    <t>https://www.goodthingsguy.com/environment/facts-returnable-bottles/</t>
  </si>
  <si>
    <t>Korea Resource Circulation Service Agency (KORA)</t>
  </si>
  <si>
    <t>http://www.kora.or.kr/eng/main.do</t>
  </si>
  <si>
    <t>Republic of Türkiye, Ministry of Environment, Urbanization and Climate Change. 2020. 'Packaging and Packaging Waste Newsletter 2020'.</t>
  </si>
  <si>
    <t>cygm.csb.gov.tr/dongusel-ekonomi-ve-atik-yonetimi-dairesi-baskanligi-i-85475</t>
  </si>
  <si>
    <t>Swire Coca-Cola. 2023. 'Primary Packaging Annual Progress Report'.</t>
  </si>
  <si>
    <t>https://www.swirecocacola.com/sbcorpweb/uploads/docs/SCC_SR2023_PriPP_EN.pdf</t>
  </si>
  <si>
    <t>IAI (2023) ALUMINIUM BEVERAGE CAN RECYCLING IN UNITED ARAB EMIRATES AND ASIA PACIFIC</t>
  </si>
  <si>
    <t>https://international-aluminium.org/wp-content/uploads/2023/09/Can-Study-factsheet-FINAL.pdf</t>
  </si>
  <si>
    <t>ThaiBev (2022) PACKAGING COMMITMENT</t>
  </si>
  <si>
    <t>https://sustainability.thaibev.com/en/index.php</t>
  </si>
  <si>
    <t>Not defined</t>
  </si>
  <si>
    <t>Rate was not defined. Assumed a collected for recycling rate.</t>
  </si>
  <si>
    <t>Carlos Arturo Hoyos Vallejo (2023) TESIS PARA OBTENER EL GRADO DE MAGÍSTER EN ADMINISTRACIÓN ESTRATÉGICA DE EMPRESAS OTORGADO POR LA PONTIFICIA UNIVERSIDAD CATÓLICA DEL PERÚ</t>
  </si>
  <si>
    <t>https://tesis.pucp.edu.pe/bitstreams/1a66cb3e-ac75-4cee-8358-614b4e4ceb00/download</t>
  </si>
  <si>
    <t>Rate calculated using MSW comp and Reloop POM.</t>
  </si>
  <si>
    <t>SIGERSOL. 2023. Composition of Rs Ss Domiciliary. Accessed 23/04/2024</t>
  </si>
  <si>
    <t xml:space="preserve">https://sistemas.minam.gob.pe/SigersolMunicipal/#/accesoLibre/generacion </t>
  </si>
  <si>
    <t xml:space="preserve">San Miguel Corporation. n.d. ‘Closing The Loop’. </t>
  </si>
  <si>
    <t>https://www.sanmiguel.com.ph/sustainability/kalikasan/circular-economy/closing-the-loop/</t>
  </si>
  <si>
    <t>The Aluminium Association, and Can Manufacturers Institute. 2024. ‘The Aluminium Can Advantage:  Sustainability Key Performance Indicators’.</t>
  </si>
  <si>
    <t>https://www.aluminum.org/sites/default/files/2024-12/FINAL-2024_Aluminum-Can-KPI-Report.pdf</t>
  </si>
  <si>
    <t>The Aluminium Association Reported Figures. Numerator represents quantities of clean shredded scrap charged into melting furnaces.</t>
  </si>
  <si>
    <t>PET bottle collection rate.</t>
  </si>
  <si>
    <t xml:space="preserve">PET bottle’s net recycling rate which measures the actual quantity of PET material recovered and available for further processing to make new products.    </t>
  </si>
  <si>
    <t xml:space="preserve">Source states recycling rate but based on number of units, so presented here as collected for recycling rate. Figures comes from Container Recycling Institute’s 2021 Beverage Market Data Analysis (BMDA). </t>
  </si>
  <si>
    <t>Container Recycling Institute (CRI). 2024. .Beverage Container Recycling Fast Facts'.</t>
  </si>
  <si>
    <t>https://www.container-recycling.org/images/2024/Fast%20Facts.pdf</t>
  </si>
  <si>
    <t xml:space="preserve">Federal Ministry of Environment. 2020. ‘National Policy on Plastic Waste Management’. </t>
  </si>
  <si>
    <t>https://faolex.fao.org/docs/pdf/nig214338.pdf</t>
  </si>
  <si>
    <t>No reported national rate.
Data for Lagos only found - scaled up on a per capita basis.</t>
  </si>
  <si>
    <t>semasir. 2025. ‘FBRA Q1 2024 Newsletter’. Food and Beverage Recycling Alliance (blog). 26 May 2025. https://www.fbranigeria.ng/fbra-q1-2024-newsletter/.</t>
  </si>
  <si>
    <t>https://www.fbranigeria.ng/fbra-q4-2023-newsletter/
https://www.fbranigeria.ng/2023-half-year-report/</t>
  </si>
  <si>
    <t xml:space="preserve">International Aluminium Journal. 2025. ‘New Record in Aluminium Beverage Can Recycling’. </t>
  </si>
  <si>
    <t>https://www.aluminium-journal.com/new-record-in-aluminium-beverage-can-recycling</t>
  </si>
  <si>
    <t>ICIS. Nd. PET Market in Europe State of Play Production, Collection &amp; Recycling Data 2022.</t>
  </si>
  <si>
    <t xml:space="preserve">https://unesda.eu/wp-content/uploads/2024/05/PET-plastic-Market-in-Europe-State-of-Play-Production-Collection-Recycling-Data_2022.pdf </t>
  </si>
  <si>
    <t>https://unesda.eu/wp-content/uploads/2024/05/PET-plastic-Market-in-Europe-State-of-Play-Production-Collection-Recycling-Data_2022.pdf</t>
  </si>
  <si>
    <t>Various (provided by IAI)</t>
  </si>
  <si>
    <t xml:space="preserve">https://view.officeapps.live.com/op/view.aspx?src=https%3A%2F%2Fclosetheglassloop.eu%2Fwp-content%2Fuploads%2F2023%2F06%2F2022-Collection-for-Recycling-Stats-vFINAL.xlsx&amp;wdOrigin=BROWSELINK </t>
  </si>
  <si>
    <t>Collected for recycling, methodology not stated</t>
  </si>
  <si>
    <t>2019/20</t>
  </si>
  <si>
    <t>République Algérienne Démocratique et Populaire. Ministère de l'Environnement. Rapport sur l'état de la gestion des déchets en Algérie (Report of the State of waste management in Algeria). 2020.</t>
  </si>
  <si>
    <t>https://and.dz/site/wp-content/uploads/rapport%20DMA2.pdf</t>
  </si>
  <si>
    <t>https://www.globalplasticaction.org/case-study-details/pakistan-national-action-roadmap-to-reduce-plastic-pollution/aJYTG0000000Pcj4AE</t>
  </si>
  <si>
    <t>IAI (2023), ALUMINIUM BEVERAGE CAN RECYCLING IN UNITED ARAB EMIRATES AND ASIA PACIFIC</t>
  </si>
  <si>
    <t>Ahmed Inshaz, 2018, A Look At Random Global’s Glass Recycling Operations</t>
  </si>
  <si>
    <t>https://www.wasterecyclingmea.com/news/business-leader/a-look-at-random-global-s-glass-recycling-operations</t>
  </si>
  <si>
    <t>Creon Group, 2021, The Russian PET market will struggle for raw materials</t>
  </si>
  <si>
    <t>https://creon-group.com/en/the-russian-pet-market-will-struggle-for-raw-materials/#:~:text=Introduced%20in%20Russia%20in%202015,should%20be%20recycled%20in%20Russia.</t>
  </si>
  <si>
    <t>Alexey Maslennikov, 2020, Why Glass Cullet Is Not Used 100%</t>
  </si>
  <si>
    <t>https://www.waste.ru/modules/section/item.php?itemid=547</t>
  </si>
  <si>
    <t xml:space="preserve">Reported as plastic wastes recycled or reused, but no method was provided so assumed we assumed it is a collected for recycling figure. </t>
  </si>
  <si>
    <t>GBN. n.d. ‘Partnership Ready Ethiopia: Recycling Sector’.</t>
  </si>
  <si>
    <t>https://www.giz.de/en/downloads/GBN_SectorBrief_%C3%84thiopien-Recyling_E_WEB.pdf</t>
  </si>
  <si>
    <t>Rate calculated using the collected tonnage and POM data found within source.</t>
  </si>
  <si>
    <t>Ministry of Housing and Local Government (KPKT). (2019). Plastic Waste Management in Malaysia. Malaysia National Stakeholder Consultation on Marine Litter [online]. Port Dickson, Malaysia</t>
  </si>
  <si>
    <t>https://www.sea-circular.org/wp-content/uploads/2019/11/4-Puan-Nor-Ain-cleancopy_Plastic-Waste-Management-in-Malaysia.pdf</t>
  </si>
  <si>
    <t>Reloop. 2024. 'Global Deposit Book 2024'.</t>
  </si>
  <si>
    <t>https://www.reloopplatform.org/wp-content/uploads/2024/12/Reloop-Global-Deposit-Book-2024.pdf</t>
  </si>
  <si>
    <t xml:space="preserve"> Tonnes Sold By Country </t>
  </si>
  <si>
    <t>Ukraine</t>
  </si>
  <si>
    <t>Uzbekistan</t>
  </si>
  <si>
    <t>Bangladesh</t>
  </si>
  <si>
    <t>Tunisia</t>
  </si>
  <si>
    <t>Ghana</t>
  </si>
  <si>
    <t>Yemen, Rep.</t>
  </si>
  <si>
    <t>Morocco</t>
  </si>
  <si>
    <t>Ecuador</t>
  </si>
  <si>
    <t>Nepal</t>
  </si>
  <si>
    <t>Guatemala</t>
  </si>
  <si>
    <t>Serbia</t>
  </si>
  <si>
    <t>Dominican Republic</t>
  </si>
  <si>
    <t>Bolivia</t>
  </si>
  <si>
    <t>Honduras</t>
  </si>
  <si>
    <t>Belarus</t>
  </si>
  <si>
    <t>Kenya</t>
  </si>
  <si>
    <t>Tanzania</t>
  </si>
  <si>
    <t>Uganda</t>
  </si>
  <si>
    <t>Slovak Republic</t>
  </si>
  <si>
    <t>Kuwait</t>
  </si>
  <si>
    <t>Azerbaijan</t>
  </si>
  <si>
    <t>Angola</t>
  </si>
  <si>
    <t>Congo, Dem. Rep.</t>
  </si>
  <si>
    <t>Jordan</t>
  </si>
  <si>
    <t>Hong Kong</t>
  </si>
  <si>
    <t>Qatar</t>
  </si>
  <si>
    <t>Uruguay</t>
  </si>
  <si>
    <t>Sudan</t>
  </si>
  <si>
    <t>Georgia</t>
  </si>
  <si>
    <t>Kyrgyzstan</t>
  </si>
  <si>
    <t>Puerto Rico</t>
  </si>
  <si>
    <t>Oman</t>
  </si>
  <si>
    <t>El Salvador</t>
  </si>
  <si>
    <t>Paraguay</t>
  </si>
  <si>
    <t>Venezuela</t>
  </si>
  <si>
    <t>New Zealand</t>
  </si>
  <si>
    <t>Lebanon</t>
  </si>
  <si>
    <t>Jamaica</t>
  </si>
  <si>
    <t>Costa Rica</t>
  </si>
  <si>
    <t>Singapore</t>
  </si>
  <si>
    <t>Tajikistan</t>
  </si>
  <si>
    <t>Bosnia Herzegovina</t>
  </si>
  <si>
    <t>Nicaragua</t>
  </si>
  <si>
    <t>Laos</t>
  </si>
  <si>
    <t>North Macedonia</t>
  </si>
  <si>
    <t>Papua New Guinea</t>
  </si>
  <si>
    <t>Sri Lanka</t>
  </si>
  <si>
    <t>Haiti</t>
  </si>
  <si>
    <t>Turkmenistan</t>
  </si>
  <si>
    <t>Panama</t>
  </si>
  <si>
    <t>Zambia</t>
  </si>
  <si>
    <t>Bahrain</t>
  </si>
  <si>
    <t>Moldova</t>
  </si>
  <si>
    <t>Kosovo</t>
  </si>
  <si>
    <t>Trinidad and Tobago</t>
  </si>
  <si>
    <t>Mozambique</t>
  </si>
  <si>
    <t>Albania</t>
  </si>
  <si>
    <t>Syria</t>
  </si>
  <si>
    <t>Madagascar</t>
  </si>
  <si>
    <t>Cuba</t>
  </si>
  <si>
    <t>Cote dIvoire</t>
  </si>
  <si>
    <t>Armenia</t>
  </si>
  <si>
    <t>Cameroon</t>
  </si>
  <si>
    <t>Niger</t>
  </si>
  <si>
    <t>Burkina Faso</t>
  </si>
  <si>
    <t>Mali</t>
  </si>
  <si>
    <t>Malawi</t>
  </si>
  <si>
    <t>Senegal</t>
  </si>
  <si>
    <t>Chad</t>
  </si>
  <si>
    <t>Mongolia</t>
  </si>
  <si>
    <t>Zimbabwe</t>
  </si>
  <si>
    <t>Montenegro</t>
  </si>
  <si>
    <t>Guinea</t>
  </si>
  <si>
    <t>Rwanda</t>
  </si>
  <si>
    <t>Benin</t>
  </si>
  <si>
    <t>Burundi</t>
  </si>
  <si>
    <t>Bahamas, The</t>
  </si>
  <si>
    <t>Guyana</t>
  </si>
  <si>
    <t>South Sudan</t>
  </si>
  <si>
    <t>Belize</t>
  </si>
  <si>
    <t>Togo</t>
  </si>
  <si>
    <t>Sierra Leone</t>
  </si>
  <si>
    <t>Suriname</t>
  </si>
  <si>
    <t>Iceland</t>
  </si>
  <si>
    <t>Barbados</t>
  </si>
  <si>
    <t>Timor Leste</t>
  </si>
  <si>
    <t>Congo, Rep.</t>
  </si>
  <si>
    <t>Central African Republic</t>
  </si>
  <si>
    <t>Liberia</t>
  </si>
  <si>
    <t>Mauritania</t>
  </si>
  <si>
    <t>French Guiana</t>
  </si>
  <si>
    <t>Fiji</t>
  </si>
  <si>
    <t>Curacao</t>
  </si>
  <si>
    <t>Bhutan</t>
  </si>
  <si>
    <t>Eritrea</t>
  </si>
  <si>
    <t>St. Lucia</t>
  </si>
  <si>
    <t>Solomon Islands</t>
  </si>
  <si>
    <t>Aruba</t>
  </si>
  <si>
    <t>Gambia, The</t>
  </si>
  <si>
    <t>Botswana</t>
  </si>
  <si>
    <t>Namibia</t>
  </si>
  <si>
    <t>Maldives</t>
  </si>
  <si>
    <t>Brunei Darussalam</t>
  </si>
  <si>
    <t>Gabon</t>
  </si>
  <si>
    <t>Lesotho</t>
  </si>
  <si>
    <t>Guinea-Bissau</t>
  </si>
  <si>
    <t>St. Vincent and the Grenadines</t>
  </si>
  <si>
    <t>Grenada</t>
  </si>
  <si>
    <t>Equatorial Guinea</t>
  </si>
  <si>
    <t>Bermuda</t>
  </si>
  <si>
    <t>Andorra</t>
  </si>
  <si>
    <t>Dominica</t>
  </si>
  <si>
    <t>St. Kitts and Nevis</t>
  </si>
  <si>
    <t>Antigua and Barbuda</t>
  </si>
  <si>
    <t>French Polynesia</t>
  </si>
  <si>
    <t>Mauritius</t>
  </si>
  <si>
    <t>New Caledonia</t>
  </si>
  <si>
    <t>Eswatini</t>
  </si>
  <si>
    <t>Djibouti</t>
  </si>
  <si>
    <t>Greenland</t>
  </si>
  <si>
    <t>Faroe Islands</t>
  </si>
  <si>
    <t>Samoa</t>
  </si>
  <si>
    <t>Comoros</t>
  </si>
  <si>
    <t>Turks and Caicos Islands</t>
  </si>
  <si>
    <t>Guam</t>
  </si>
  <si>
    <t>Liechtenstein</t>
  </si>
  <si>
    <t>Monaco</t>
  </si>
  <si>
    <t>Cabo Verde</t>
  </si>
  <si>
    <t>Western Sahara</t>
  </si>
  <si>
    <t>Cayman Islands</t>
  </si>
  <si>
    <t>Tonga</t>
  </si>
  <si>
    <t>Kiribati</t>
  </si>
  <si>
    <t>Micronesia, Fed. Sts.</t>
  </si>
  <si>
    <t>Marshall Islands</t>
  </si>
  <si>
    <t>American Samoa</t>
  </si>
  <si>
    <t>Seychelles</t>
  </si>
  <si>
    <t>Palau</t>
  </si>
  <si>
    <t>Nauru</t>
  </si>
  <si>
    <t>Metal</t>
  </si>
  <si>
    <t>Collection Point</t>
  </si>
  <si>
    <t>Collected for Recycling</t>
  </si>
  <si>
    <t>Recycling Rate</t>
  </si>
  <si>
    <t>Materials Covered</t>
  </si>
  <si>
    <t>Calculation points</t>
  </si>
  <si>
    <t>Plastic beverage containers</t>
  </si>
  <si>
    <t>DRS national return rate</t>
  </si>
  <si>
    <t>Transfer station inputs</t>
  </si>
  <si>
    <t>Recycled into raw material</t>
  </si>
  <si>
    <t>All plastic bottles</t>
  </si>
  <si>
    <t>Collected and sent to sorting facilities or recycling centres</t>
  </si>
  <si>
    <t>Sorting facility inputs</t>
  </si>
  <si>
    <t>Sorting facility outputs</t>
  </si>
  <si>
    <t>Beverage-specific</t>
  </si>
  <si>
    <t>Post sorting into bales</t>
  </si>
  <si>
    <t>Reprocessor inputs</t>
  </si>
  <si>
    <t>Packaging Level</t>
  </si>
  <si>
    <t xml:space="preserve">Post relabelling and delacquering </t>
  </si>
  <si>
    <t>Total beverages collected (multiple streams)</t>
  </si>
  <si>
    <t>Material level</t>
  </si>
  <si>
    <t>Post melting and cast into ingots</t>
  </si>
  <si>
    <t xml:space="preserve">Sheet ready </t>
  </si>
  <si>
    <t xml:space="preserve">No description of calculation point </t>
  </si>
  <si>
    <t>Draft results</t>
  </si>
  <si>
    <t>Tonnes POM</t>
  </si>
  <si>
    <t>Tonnes Collected</t>
  </si>
  <si>
    <t>Tonnes Recycled</t>
  </si>
  <si>
    <t>Current results</t>
  </si>
  <si>
    <t>2019 Study</t>
  </si>
  <si>
    <t>Adjustment for caps/labels</t>
  </si>
  <si>
    <t>https://zerowasteeurope.eu/library/how-circular-is-pet/</t>
  </si>
  <si>
    <t xml:space="preserve">Proportion of PET bottle that is cap/label </t>
  </si>
  <si>
    <t>Mixed Collections</t>
  </si>
  <si>
    <t>Separate Collections</t>
  </si>
  <si>
    <t>Loss rates</t>
  </si>
  <si>
    <t>As the POM data provided by Reloop does not contain caps/labels, loss rates were adjusted so that the loss of caps/labels in the sorting and recycling process was not accounted for in countries where Reloop POM data was used</t>
  </si>
  <si>
    <t>% Global POM (excluding regional averages)</t>
  </si>
  <si>
    <t>% Global POM (including regional averages)</t>
  </si>
  <si>
    <t>Totals based on countries in scope (excluding regional averages)</t>
  </si>
  <si>
    <t>Totals based on countries in scope (including regional averages)</t>
  </si>
  <si>
    <t>Total Global POM (includes both countries in and out of scope of project)</t>
  </si>
  <si>
    <t xml:space="preserve">Final Dataset -Summary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</si>
</sst>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00"/>
    <numFmt numFmtId="166" formatCode="#,##0.0"/>
    <numFmt numFmtId="167" formatCode="0.000"/>
  </numFmts>
  <fonts count="39" x14ac:knownFonts="1">
    <font>
      <sz val="10"/>
      <color theme="1"/>
      <name val="Century Gothic"/>
      <family val="2"/>
    </font>
    <font>
      <sz val="11"/>
      <color theme="1"/>
      <name val="Century Gothic"/>
      <family val="2"/>
      <scheme val="minor"/>
    </font>
    <font>
      <sz val="11"/>
      <color theme="1"/>
      <name val="Century Gothic"/>
      <family val="2"/>
      <scheme val="minor"/>
    </font>
    <font>
      <sz val="11"/>
      <color theme="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entury Gothic"/>
      <family val="2"/>
      <scheme val="minor"/>
    </font>
    <font>
      <u/>
      <sz val="10"/>
      <color theme="10"/>
      <name val="Franklin Gothic Book"/>
      <family val="2"/>
    </font>
    <font>
      <sz val="18"/>
      <color theme="3"/>
      <name val="Century Gothic"/>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10"/>
      <color theme="1"/>
      <name val="Century Gothic"/>
      <family val="2"/>
    </font>
    <font>
      <b/>
      <sz val="12"/>
      <color theme="4" tint="-0.499984740745262"/>
      <name val="Century Gothic"/>
      <family val="2"/>
    </font>
    <font>
      <b/>
      <sz val="11"/>
      <color theme="4" tint="-0.499984740745262"/>
      <name val="Century Gothic"/>
      <family val="2"/>
    </font>
    <font>
      <sz val="11"/>
      <color theme="4" tint="-0.499984740745262"/>
      <name val="Century Gothic"/>
      <family val="2"/>
    </font>
    <font>
      <u/>
      <sz val="10"/>
      <color theme="9"/>
      <name val="Century Gothic"/>
      <family val="2"/>
    </font>
    <font>
      <u/>
      <sz val="10"/>
      <color theme="7"/>
      <name val="Century Gothic"/>
      <family val="2"/>
    </font>
    <font>
      <sz val="10"/>
      <color theme="8" tint="-0.499984740745262"/>
      <name val="Century Gothic"/>
      <family val="2"/>
    </font>
    <font>
      <sz val="10"/>
      <name val="Century Gothic"/>
      <family val="2"/>
    </font>
    <font>
      <sz val="10"/>
      <color indexed="8"/>
      <name val="Century Gothic"/>
      <family val="2"/>
    </font>
    <font>
      <b/>
      <sz val="10"/>
      <color theme="1"/>
      <name val="Century Gothic"/>
      <family val="2"/>
    </font>
    <font>
      <b/>
      <sz val="10"/>
      <color theme="0" tint="-4.9989318521683403E-2"/>
      <name val="Century Gothic"/>
      <family val="2"/>
    </font>
    <font>
      <b/>
      <sz val="10"/>
      <name val="Century Gothic"/>
      <family val="2"/>
    </font>
    <font>
      <sz val="10"/>
      <color theme="0" tint="-4.9989318521683403E-2"/>
      <name val="Century Gothic"/>
      <family val="2"/>
    </font>
    <font>
      <sz val="10"/>
      <color theme="0"/>
      <name val="Century Gothic"/>
      <family val="2"/>
    </font>
    <font>
      <sz val="8"/>
      <color theme="1"/>
      <name val="Century Gothic"/>
      <family val="2"/>
    </font>
    <font>
      <sz val="8"/>
      <name val="Century Gothic"/>
      <family val="2"/>
    </font>
    <font>
      <b/>
      <sz val="20"/>
      <color theme="1"/>
      <name val="Century Gothic"/>
      <family val="2"/>
    </font>
    <font>
      <sz val="7"/>
      <color rgb="FF50595E"/>
      <name val="Arial"/>
      <family val="2"/>
    </font>
    <font>
      <sz val="11"/>
      <name val="Century Gothic"/>
      <family val="2"/>
      <scheme val="minor"/>
    </font>
    <font>
      <b/>
      <sz val="25"/>
      <color theme="1"/>
      <name val="Century Gothic"/>
      <family val="2"/>
    </font>
    <font>
      <b/>
      <sz val="25"/>
      <color rgb="FFFF0000"/>
      <name val="Century Gothic"/>
      <family val="2"/>
    </font>
    <font>
      <strike/>
      <sz val="10"/>
      <color theme="1"/>
      <name val="Century Gothic"/>
      <family val="2"/>
    </font>
    <font>
      <strike/>
      <u/>
      <sz val="10"/>
      <color theme="7"/>
      <name val="Century Gothic"/>
      <family val="2"/>
    </font>
  </fonts>
  <fills count="2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8" tint="0.39994506668294322"/>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rgb="FF7DD4C4"/>
        <bgColor indexed="64"/>
      </patternFill>
    </fill>
    <fill>
      <patternFill patternType="solid">
        <fgColor theme="5"/>
        <bgColor indexed="64"/>
      </patternFill>
    </fill>
    <fill>
      <patternFill patternType="solid">
        <fgColor theme="4" tint="0.79998168889431442"/>
        <bgColor indexed="64"/>
      </patternFill>
    </fill>
    <fill>
      <patternFill patternType="solid">
        <fgColor rgb="FFA8E2D8"/>
        <bgColor indexed="64"/>
      </patternFill>
    </fill>
    <fill>
      <patternFill patternType="solid">
        <fgColor rgb="FFD4F1EB"/>
        <bgColor indexed="64"/>
      </patternFill>
    </fill>
    <fill>
      <patternFill patternType="solid">
        <fgColor theme="2" tint="0.39994506668294322"/>
        <bgColor indexed="64"/>
      </patternFill>
    </fill>
    <fill>
      <patternFill patternType="solid">
        <fgColor theme="2" tint="0.59996337778862885"/>
        <bgColor indexed="64"/>
      </patternFill>
    </fill>
    <fill>
      <patternFill patternType="solid">
        <fgColor theme="2"/>
        <bgColor indexed="64"/>
      </patternFill>
    </fill>
    <fill>
      <patternFill patternType="solid">
        <fgColor theme="7" tint="0.59996337778862885"/>
        <bgColor indexed="64"/>
      </patternFill>
    </fill>
    <fill>
      <patternFill patternType="solid">
        <fgColor rgb="FF92D050"/>
        <bgColor indexed="64"/>
      </patternFill>
    </fill>
    <fill>
      <patternFill patternType="solid">
        <fgColor rgb="FFFF0000"/>
        <bgColor indexed="64"/>
      </patternFill>
    </fill>
    <fill>
      <patternFill patternType="solid">
        <fgColor theme="6"/>
        <bgColor indexed="64"/>
      </patternFill>
    </fill>
    <fill>
      <patternFill patternType="solid">
        <fgColor theme="6" tint="0.59999389629810485"/>
        <bgColor indexed="64"/>
      </patternFill>
    </fill>
  </fills>
  <borders count="47">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ck">
        <color theme="4" tint="-0.499984740745262"/>
      </top>
      <bottom style="thick">
        <color theme="4" tint="-0.499984740745262"/>
      </bottom>
      <diagonal/>
    </border>
    <border>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0" tint="-4.9989318521683403E-2"/>
      </left>
      <right style="thin">
        <color theme="0" tint="-4.9989318521683403E-2"/>
      </right>
      <top style="thin">
        <color theme="3"/>
      </top>
      <bottom style="double">
        <color theme="3"/>
      </bottom>
      <diagonal/>
    </border>
    <border>
      <left style="thin">
        <color theme="4" tint="-0.499984740745262"/>
      </left>
      <right/>
      <top/>
      <bottom/>
      <diagonal/>
    </border>
    <border>
      <left style="thin">
        <color theme="4" tint="-0.24994659260841701"/>
      </left>
      <right style="thin">
        <color theme="4" tint="-0.24994659260841701"/>
      </right>
      <top/>
      <bottom/>
      <diagonal/>
    </border>
    <border>
      <left style="thin">
        <color theme="4" tint="-0.499984740745262"/>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0.24994659260841701"/>
      </left>
      <right/>
      <top style="thin">
        <color theme="2" tint="-0.24994659260841701"/>
      </top>
      <bottom style="thin">
        <color theme="2" tint="-0.24994659260841701"/>
      </bottom>
      <diagonal/>
    </border>
    <border>
      <left style="thin">
        <color theme="2" tint="-0.24994659260841701"/>
      </left>
      <right/>
      <top/>
      <bottom style="thin">
        <color theme="2" tint="-0.24994659260841701"/>
      </bottom>
      <diagonal/>
    </border>
    <border>
      <left style="thin">
        <color theme="4" tint="-0.499984740745262"/>
      </left>
      <right style="thin">
        <color theme="4" tint="-0.499984740745262"/>
      </right>
      <top style="thin">
        <color theme="4" tint="-0.499984740745262"/>
      </top>
      <bottom/>
      <diagonal/>
    </border>
    <border>
      <left style="thin">
        <color theme="2" tint="-0.24994659260841701"/>
      </left>
      <right/>
      <top style="thin">
        <color indexed="64"/>
      </top>
      <bottom style="thin">
        <color theme="2" tint="-0.24994659260841701"/>
      </bottom>
      <diagonal/>
    </border>
    <border>
      <left style="thin">
        <color theme="4" tint="-0.499984740745262"/>
      </left>
      <right style="thin">
        <color theme="4" tint="-0.499984740745262"/>
      </right>
      <top style="thin">
        <color theme="1" tint="0.34998626667073579"/>
      </top>
      <bottom/>
      <diagonal/>
    </border>
    <border>
      <left style="thin">
        <color theme="4" tint="-0.24994659260841701"/>
      </left>
      <right/>
      <top style="thin">
        <color theme="0" tint="-0.499984740745262"/>
      </top>
      <bottom style="thin">
        <color theme="0" tint="-0.499984740745262"/>
      </bottom>
      <diagonal/>
    </border>
    <border>
      <left/>
      <right style="thin">
        <color theme="4" tint="-0.24994659260841701"/>
      </right>
      <top style="thin">
        <color theme="0" tint="-0.499984740745262"/>
      </top>
      <bottom style="thin">
        <color theme="0" tint="-0.499984740745262"/>
      </bottom>
      <diagonal/>
    </border>
    <border>
      <left style="thin">
        <color theme="4" tint="-0.24994659260841701"/>
      </left>
      <right/>
      <top style="thin">
        <color theme="4" tint="-0.499984740745262"/>
      </top>
      <bottom style="thin">
        <color theme="0" tint="-0.499984740745262"/>
      </bottom>
      <diagonal/>
    </border>
    <border>
      <left/>
      <right style="thin">
        <color theme="4" tint="-0.24994659260841701"/>
      </right>
      <top style="thin">
        <color theme="4" tint="-0.499984740745262"/>
      </top>
      <bottom style="thin">
        <color theme="0" tint="-0.499984740745262"/>
      </bottom>
      <diagonal/>
    </border>
    <border>
      <left style="thin">
        <color theme="2" tint="-0.24994659260841701"/>
      </left>
      <right style="thin">
        <color theme="4" tint="-0.24994659260841701"/>
      </right>
      <top style="thin">
        <color theme="2" tint="-0.24994659260841701"/>
      </top>
      <bottom/>
      <diagonal/>
    </border>
    <border>
      <left style="thin">
        <color theme="2" tint="-0.24994659260841701"/>
      </left>
      <right style="thin">
        <color theme="4" tint="-0.24994659260841701"/>
      </right>
      <top/>
      <bottom/>
      <diagonal/>
    </border>
    <border>
      <left style="thin">
        <color theme="2" tint="-0.24994659260841701"/>
      </left>
      <right style="thin">
        <color theme="4" tint="-0.24994659260841701"/>
      </right>
      <top/>
      <bottom style="thin">
        <color theme="2" tint="-0.24994659260841701"/>
      </bottom>
      <diagonal/>
    </border>
    <border>
      <left style="thin">
        <color theme="4" tint="-0.499984740745262"/>
      </left>
      <right style="thin">
        <color theme="4" tint="-0.24994659260841701"/>
      </right>
      <top style="thin">
        <color theme="2" tint="-0.24994659260841701"/>
      </top>
      <bottom/>
      <diagonal/>
    </border>
    <border>
      <left style="thin">
        <color theme="4" tint="-0.499984740745262"/>
      </left>
      <right style="thin">
        <color theme="4" tint="-0.24994659260841701"/>
      </right>
      <top/>
      <bottom/>
      <diagonal/>
    </border>
    <border>
      <left style="thin">
        <color theme="4" tint="-0.499984740745262"/>
      </left>
      <right style="thin">
        <color theme="4" tint="-0.24994659260841701"/>
      </right>
      <top/>
      <bottom style="thin">
        <color theme="0" tint="-0.499984740745262"/>
      </bottom>
      <diagonal/>
    </border>
    <border>
      <left/>
      <right/>
      <top style="thin">
        <color theme="4" tint="-0.499984740745262"/>
      </top>
      <bottom style="thin">
        <color theme="0"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1" tint="0.34998626667073579"/>
      </bottom>
      <diagonal/>
    </border>
    <border>
      <left/>
      <right style="thin">
        <color theme="2" tint="-0.24994659260841701"/>
      </right>
      <top style="thin">
        <color indexed="64"/>
      </top>
      <bottom style="thin">
        <color theme="2" tint="-0.24994659260841701"/>
      </bottom>
      <diagonal/>
    </border>
    <border>
      <left/>
      <right/>
      <top style="thin">
        <color theme="0" tint="-0.499984740745262"/>
      </top>
      <bottom style="thin">
        <color theme="0" tint="-0.499984740745262"/>
      </bottom>
      <diagonal/>
    </border>
  </borders>
  <cellStyleXfs count="67">
    <xf numFmtId="3" fontId="0" fillId="2" borderId="0" applyNumberFormat="0">
      <alignment horizontal="left" vertical="center" wrapText="1"/>
    </xf>
    <xf numFmtId="0" fontId="17" fillId="2" borderId="8" applyProtection="0">
      <alignment horizontal="left" vertical="center"/>
    </xf>
    <xf numFmtId="3" fontId="18" fillId="2" borderId="1" applyProtection="0">
      <alignment horizontal="left" vertical="center"/>
    </xf>
    <xf numFmtId="3" fontId="19" fillId="2" borderId="1" applyProtection="0">
      <alignment horizontal="left" vertical="center"/>
    </xf>
    <xf numFmtId="3" fontId="19" fillId="2" borderId="2" applyProtection="0">
      <alignment horizontal="left" vertical="center"/>
    </xf>
    <xf numFmtId="3" fontId="23" fillId="2" borderId="6" applyNumberFormat="0" applyProtection="0">
      <alignment horizontal="right" vertical="center" wrapText="1"/>
    </xf>
    <xf numFmtId="3" fontId="4" fillId="4" borderId="5" applyProtection="0">
      <alignment horizontal="right" vertical="center" wrapText="1"/>
    </xf>
    <xf numFmtId="3" fontId="22" fillId="2" borderId="0" applyNumberFormat="0" applyProtection="0">
      <alignment vertical="center"/>
    </xf>
    <xf numFmtId="3" fontId="25" fillId="2" borderId="22" applyProtection="0">
      <alignment vertical="center"/>
    </xf>
    <xf numFmtId="0" fontId="27" fillId="8" borderId="15" applyProtection="0">
      <alignment horizontal="left" vertical="center" wrapText="1"/>
    </xf>
    <xf numFmtId="0" fontId="27" fillId="20" borderId="15" applyProtection="0">
      <alignment horizontal="left" vertical="center" wrapText="1"/>
    </xf>
    <xf numFmtId="0" fontId="27" fillId="19" borderId="15" applyProtection="0">
      <alignment horizontal="left" vertical="center" wrapText="1"/>
    </xf>
    <xf numFmtId="3" fontId="5" fillId="3" borderId="4" applyProtection="0">
      <alignment horizontal="left" vertical="center" wrapText="1"/>
    </xf>
    <xf numFmtId="0" fontId="29" fillId="5" borderId="21" applyProtection="0">
      <alignment horizontal="left" vertical="center" wrapText="1" indent="1"/>
    </xf>
    <xf numFmtId="0" fontId="23" fillId="20" borderId="15" applyProtection="0">
      <alignment horizontal="left" vertical="center" wrapText="1" indent="1"/>
    </xf>
    <xf numFmtId="0" fontId="23" fillId="19" borderId="3" applyProtection="0">
      <alignment horizontal="left" vertical="center" wrapText="1" indent="1"/>
    </xf>
    <xf numFmtId="3" fontId="6" fillId="3" borderId="4" applyProtection="0">
      <alignment horizontal="left" vertical="center" wrapText="1" indent="1"/>
    </xf>
    <xf numFmtId="0" fontId="27" fillId="8" borderId="15" applyProtection="0">
      <alignment horizontal="right" vertical="center" wrapText="1"/>
    </xf>
    <xf numFmtId="0" fontId="27" fillId="20" borderId="15" applyProtection="0">
      <alignment horizontal="right" vertical="center" wrapText="1"/>
    </xf>
    <xf numFmtId="0" fontId="25" fillId="19" borderId="15" applyProtection="0">
      <alignment horizontal="right" vertical="center" wrapText="1"/>
    </xf>
    <xf numFmtId="3" fontId="5" fillId="3" borderId="4" applyProtection="0">
      <alignment horizontal="right" vertical="center" wrapText="1"/>
    </xf>
    <xf numFmtId="0" fontId="29" fillId="5" borderId="21" applyProtection="0">
      <alignment horizontal="right" vertical="center" wrapText="1"/>
    </xf>
    <xf numFmtId="0" fontId="23" fillId="20" borderId="15" applyProtection="0">
      <alignment horizontal="right" vertical="center" wrapText="1"/>
    </xf>
    <xf numFmtId="0" fontId="23" fillId="19" borderId="15" applyProtection="0">
      <alignment horizontal="right" vertical="center" wrapText="1"/>
    </xf>
    <xf numFmtId="3" fontId="6" fillId="3" borderId="4" applyProtection="0">
      <alignment horizontal="right" vertical="center" wrapText="1"/>
    </xf>
    <xf numFmtId="3" fontId="16" fillId="2" borderId="15" applyNumberFormat="0">
      <alignment horizontal="right" vertical="center" wrapText="1"/>
    </xf>
    <xf numFmtId="3" fontId="23" fillId="6" borderId="18" applyNumberFormat="0" applyProtection="0">
      <alignment horizontal="right" vertical="center" wrapText="1"/>
    </xf>
    <xf numFmtId="3" fontId="23" fillId="17" borderId="18" applyNumberFormat="0" applyProtection="0">
      <alignment horizontal="right" vertical="center" wrapText="1"/>
    </xf>
    <xf numFmtId="3" fontId="23" fillId="7" borderId="18" applyNumberFormat="0" applyProtection="0">
      <alignment horizontal="right" vertical="center"/>
    </xf>
    <xf numFmtId="3" fontId="6" fillId="5" borderId="10" applyProtection="0">
      <alignment horizontal="left" vertical="center" wrapText="1" indent="1"/>
    </xf>
    <xf numFmtId="0" fontId="26" fillId="5" borderId="16" applyProtection="0">
      <alignment horizontal="left" vertical="center" wrapText="1"/>
    </xf>
    <xf numFmtId="0" fontId="28" fillId="21" borderId="16" applyProtection="0">
      <alignment horizontal="left" vertical="center" wrapText="1" indent="1"/>
    </xf>
    <xf numFmtId="3" fontId="5" fillId="5" borderId="9" applyProtection="0">
      <alignment horizontal="left" vertical="center" wrapText="1"/>
    </xf>
    <xf numFmtId="3" fontId="6" fillId="5" borderId="10" applyProtection="0">
      <alignment horizontal="right" vertical="center" wrapText="1"/>
    </xf>
    <xf numFmtId="0" fontId="26" fillId="5" borderId="16" applyProtection="0">
      <alignment horizontal="right" vertical="center" wrapText="1"/>
    </xf>
    <xf numFmtId="0" fontId="28" fillId="21" borderId="17" applyProtection="0">
      <alignment horizontal="right" vertical="center" wrapText="1"/>
    </xf>
    <xf numFmtId="3" fontId="5" fillId="5" borderId="9" applyProtection="0">
      <alignment horizontal="right" vertical="center" wrapText="1"/>
    </xf>
    <xf numFmtId="3" fontId="23" fillId="22" borderId="7" applyNumberFormat="0" applyProtection="0">
      <alignment horizontal="right" vertical="center"/>
    </xf>
    <xf numFmtId="3" fontId="30" fillId="2" borderId="0">
      <alignment horizontal="left" vertical="center"/>
    </xf>
    <xf numFmtId="0" fontId="8" fillId="0" borderId="11" applyNumberFormat="0" applyFill="0" applyAlignment="0" applyProtection="0"/>
    <xf numFmtId="0" fontId="9" fillId="0" borderId="0" applyNumberFormat="0" applyFill="0" applyBorder="0" applyAlignment="0" applyProtection="0">
      <alignment vertical="top"/>
      <protection locked="0"/>
    </xf>
    <xf numFmtId="3" fontId="24" fillId="20" borderId="14" applyNumberFormat="0"/>
    <xf numFmtId="0" fontId="10" fillId="0" borderId="0" applyNumberFormat="0" applyFill="0" applyBorder="0" applyAlignment="0" applyProtection="0"/>
    <xf numFmtId="0" fontId="11"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4" fillId="12" borderId="12" applyNumberFormat="0" applyAlignment="0" applyProtection="0"/>
    <xf numFmtId="0" fontId="7" fillId="0" borderId="0" applyNumberFormat="0" applyFill="0" applyBorder="0" applyAlignment="0" applyProtection="0"/>
    <xf numFmtId="0" fontId="3" fillId="13" borderId="13" applyNumberFormat="0" applyFont="0" applyAlignment="0" applyProtection="0"/>
    <xf numFmtId="0" fontId="15" fillId="0" borderId="0" applyNumberFormat="0" applyFill="0" applyBorder="0" applyAlignment="0" applyProtection="0"/>
    <xf numFmtId="3" fontId="21" fillId="2" borderId="0" applyNumberFormat="0" applyFill="0" applyBorder="0" applyAlignment="0" applyProtection="0">
      <alignment horizontal="left" vertical="center" wrapText="1"/>
    </xf>
    <xf numFmtId="3" fontId="23" fillId="15" borderId="7" applyNumberFormat="0" applyProtection="0">
      <alignment horizontal="right" vertical="center"/>
    </xf>
    <xf numFmtId="0" fontId="26" fillId="21" borderId="16" applyProtection="0">
      <alignment horizontal="left" vertical="center" wrapText="1"/>
    </xf>
    <xf numFmtId="0" fontId="26" fillId="21" borderId="16" applyProtection="0">
      <alignment horizontal="right" vertical="center" wrapText="1"/>
    </xf>
    <xf numFmtId="3" fontId="20" fillId="2" borderId="0" applyNumberFormat="0" applyFill="0" applyBorder="0" applyAlignment="0" applyProtection="0">
      <alignment horizontal="left" vertical="center" wrapText="1"/>
    </xf>
    <xf numFmtId="3" fontId="25" fillId="16" borderId="19">
      <alignment vertical="top"/>
    </xf>
    <xf numFmtId="3" fontId="16" fillId="2" borderId="20">
      <alignment vertical="top"/>
    </xf>
    <xf numFmtId="3" fontId="16" fillId="2" borderId="19">
      <alignment vertical="top"/>
    </xf>
    <xf numFmtId="3" fontId="25" fillId="14" borderId="21">
      <alignment vertical="top"/>
    </xf>
    <xf numFmtId="3" fontId="23" fillId="18" borderId="18">
      <alignment horizontal="right" vertical="center" wrapText="1"/>
    </xf>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 fillId="0" borderId="0"/>
    <xf numFmtId="0" fontId="1" fillId="0" borderId="0"/>
  </cellStyleXfs>
  <cellXfs count="157">
    <xf numFmtId="3" fontId="0" fillId="2" borderId="0" xfId="0">
      <alignment horizontal="left" vertical="center" wrapText="1"/>
    </xf>
    <xf numFmtId="3" fontId="25" fillId="14" borderId="21" xfId="58">
      <alignment vertical="top"/>
    </xf>
    <xf numFmtId="3" fontId="25" fillId="14" borderId="21" xfId="58" applyAlignment="1">
      <alignment vertical="top" wrapText="1"/>
    </xf>
    <xf numFmtId="3" fontId="16" fillId="2" borderId="15" xfId="25">
      <alignment horizontal="right" vertical="center" wrapText="1"/>
    </xf>
    <xf numFmtId="0" fontId="17" fillId="2" borderId="8" xfId="1">
      <alignment horizontal="left" vertical="center"/>
    </xf>
    <xf numFmtId="10" fontId="0" fillId="2" borderId="0" xfId="0" applyNumberFormat="1">
      <alignment horizontal="left" vertical="center" wrapText="1"/>
    </xf>
    <xf numFmtId="10" fontId="25" fillId="14" borderId="21" xfId="58" applyNumberFormat="1" applyAlignment="1">
      <alignment vertical="top" wrapText="1"/>
    </xf>
    <xf numFmtId="10" fontId="16" fillId="2" borderId="15" xfId="25" applyNumberFormat="1">
      <alignment horizontal="right" vertical="center" wrapText="1"/>
    </xf>
    <xf numFmtId="3" fontId="21" fillId="2" borderId="0" xfId="50">
      <alignment horizontal="left" vertical="center" wrapText="1"/>
    </xf>
    <xf numFmtId="3" fontId="21" fillId="2" borderId="15" xfId="50" applyBorder="1" applyAlignment="1">
      <alignment horizontal="right" vertical="center" wrapText="1"/>
    </xf>
    <xf numFmtId="0" fontId="16" fillId="2" borderId="15" xfId="25" applyNumberFormat="1">
      <alignment horizontal="right" vertical="center" wrapText="1"/>
    </xf>
    <xf numFmtId="0" fontId="0" fillId="2" borderId="0" xfId="0" applyNumberFormat="1">
      <alignment horizontal="left" vertical="center" wrapText="1"/>
    </xf>
    <xf numFmtId="0" fontId="25" fillId="14" borderId="21" xfId="58" applyNumberFormat="1" applyAlignment="1">
      <alignment vertical="top" wrapText="1"/>
    </xf>
    <xf numFmtId="3" fontId="0" fillId="2" borderId="0" xfId="0" applyAlignment="1">
      <alignment horizontal="left" vertical="center"/>
    </xf>
    <xf numFmtId="3" fontId="21" fillId="2" borderId="0" xfId="50" applyAlignment="1">
      <alignment horizontal="left" vertical="center"/>
    </xf>
    <xf numFmtId="3" fontId="21" fillId="0" borderId="0" xfId="50" applyFill="1" applyAlignment="1"/>
    <xf numFmtId="3" fontId="0" fillId="2" borderId="15" xfId="25" applyFont="1">
      <alignment horizontal="right" vertical="center" wrapText="1"/>
    </xf>
    <xf numFmtId="3" fontId="23" fillId="18" borderId="18" xfId="59">
      <alignment horizontal="right" vertical="center" wrapText="1"/>
    </xf>
    <xf numFmtId="3" fontId="16" fillId="2" borderId="15" xfId="25" applyNumberFormat="1">
      <alignment horizontal="right" vertical="center" wrapText="1"/>
    </xf>
    <xf numFmtId="0" fontId="0" fillId="2" borderId="15" xfId="25" applyNumberFormat="1" applyFont="1">
      <alignment horizontal="right" vertical="center" wrapText="1"/>
    </xf>
    <xf numFmtId="10" fontId="0" fillId="2" borderId="15" xfId="25" applyNumberFormat="1" applyFont="1">
      <alignment horizontal="right" vertical="center" wrapText="1"/>
    </xf>
    <xf numFmtId="3" fontId="23" fillId="6" borderId="18" xfId="26">
      <alignment horizontal="right" vertical="center" wrapText="1"/>
    </xf>
    <xf numFmtId="3" fontId="25" fillId="14" borderId="23" xfId="58" applyBorder="1" applyAlignment="1">
      <alignment vertical="top" wrapText="1"/>
    </xf>
    <xf numFmtId="164" fontId="16" fillId="2" borderId="15" xfId="25" applyNumberFormat="1">
      <alignment horizontal="right" vertical="center" wrapText="1"/>
    </xf>
    <xf numFmtId="165" fontId="16" fillId="2" borderId="15" xfId="25" applyNumberFormat="1">
      <alignment horizontal="right" vertical="center" wrapText="1"/>
    </xf>
    <xf numFmtId="10" fontId="23" fillId="6" borderId="18" xfId="26" applyNumberFormat="1">
      <alignment horizontal="right" vertical="center" wrapText="1"/>
    </xf>
    <xf numFmtId="3" fontId="0" fillId="2" borderId="24" xfId="25" applyFont="1" applyBorder="1">
      <alignment horizontal="right" vertical="center" wrapText="1"/>
    </xf>
    <xf numFmtId="4" fontId="0" fillId="2" borderId="0" xfId="0" applyNumberFormat="1">
      <alignment horizontal="left" vertical="center" wrapText="1"/>
    </xf>
    <xf numFmtId="0" fontId="23" fillId="2" borderId="15" xfId="25" applyNumberFormat="1" applyFont="1">
      <alignment horizontal="right" vertical="center" wrapText="1"/>
    </xf>
    <xf numFmtId="3" fontId="25" fillId="2" borderId="22" xfId="8">
      <alignment vertical="center"/>
    </xf>
    <xf numFmtId="10" fontId="25" fillId="2" borderId="22" xfId="8" applyNumberFormat="1">
      <alignment vertical="center"/>
    </xf>
    <xf numFmtId="3" fontId="23" fillId="7" borderId="18" xfId="28">
      <alignment horizontal="right" vertical="center"/>
    </xf>
    <xf numFmtId="10" fontId="23" fillId="17" borderId="18" xfId="27" applyNumberFormat="1">
      <alignment horizontal="right" vertical="center" wrapText="1"/>
    </xf>
    <xf numFmtId="3" fontId="23" fillId="17" borderId="18" xfId="27">
      <alignment horizontal="right" vertical="center" wrapText="1"/>
    </xf>
    <xf numFmtId="3" fontId="16" fillId="2" borderId="24" xfId="25" applyBorder="1">
      <alignment horizontal="right" vertical="center" wrapText="1"/>
    </xf>
    <xf numFmtId="3" fontId="25" fillId="2" borderId="0" xfId="0" applyFont="1">
      <alignment horizontal="left" vertical="center" wrapText="1"/>
    </xf>
    <xf numFmtId="165" fontId="0" fillId="2" borderId="0" xfId="0" applyNumberFormat="1">
      <alignment horizontal="left" vertical="center" wrapText="1"/>
    </xf>
    <xf numFmtId="9" fontId="23" fillId="6" borderId="18" xfId="26" applyNumberFormat="1">
      <alignment horizontal="right" vertical="center" wrapText="1"/>
    </xf>
    <xf numFmtId="3" fontId="23" fillId="22" borderId="7" xfId="37">
      <alignment horizontal="right" vertical="center"/>
    </xf>
    <xf numFmtId="3" fontId="23" fillId="2" borderId="15" xfId="25" applyFont="1">
      <alignment horizontal="right" vertical="center" wrapText="1"/>
    </xf>
    <xf numFmtId="3" fontId="21" fillId="2" borderId="0" xfId="50" applyAlignment="1"/>
    <xf numFmtId="3" fontId="23" fillId="15" borderId="7" xfId="51">
      <alignment horizontal="right" vertical="center"/>
    </xf>
    <xf numFmtId="3" fontId="25" fillId="24" borderId="15" xfId="25" applyFont="1" applyFill="1" applyAlignment="1">
      <alignment horizontal="left" vertical="center" wrapText="1"/>
    </xf>
    <xf numFmtId="3" fontId="25" fillId="25" borderId="15" xfId="25" applyFont="1" applyFill="1" applyAlignment="1">
      <alignment horizontal="left" vertical="center" wrapText="1"/>
    </xf>
    <xf numFmtId="3" fontId="25" fillId="23" borderId="15" xfId="25" applyFont="1" applyFill="1" applyAlignment="1">
      <alignment horizontal="left" vertical="center" wrapText="1"/>
    </xf>
    <xf numFmtId="3" fontId="25" fillId="14" borderId="29" xfId="58" applyBorder="1" applyAlignment="1">
      <alignment vertical="top" wrapText="1"/>
    </xf>
    <xf numFmtId="3" fontId="25" fillId="2" borderId="22" xfId="8" applyAlignment="1">
      <alignment horizontal="center" vertical="center"/>
    </xf>
    <xf numFmtId="10" fontId="25" fillId="2" borderId="22" xfId="8" applyNumberFormat="1" applyAlignment="1">
      <alignment horizontal="center" vertical="center"/>
    </xf>
    <xf numFmtId="164" fontId="0" fillId="2" borderId="0" xfId="0" applyNumberFormat="1">
      <alignment horizontal="left" vertical="center" wrapText="1"/>
    </xf>
    <xf numFmtId="3" fontId="18" fillId="2" borderId="1" xfId="2">
      <alignment horizontal="left" vertical="center"/>
    </xf>
    <xf numFmtId="166" fontId="0" fillId="2" borderId="0" xfId="0" applyNumberFormat="1">
      <alignment horizontal="left" vertical="center" wrapText="1"/>
    </xf>
    <xf numFmtId="164" fontId="25" fillId="2" borderId="22" xfId="8" applyNumberFormat="1">
      <alignment vertical="center"/>
    </xf>
    <xf numFmtId="3" fontId="23" fillId="22" borderId="7" xfId="37" applyNumberFormat="1">
      <alignment horizontal="right" vertical="center"/>
    </xf>
    <xf numFmtId="0" fontId="26" fillId="21" borderId="16" xfId="53">
      <alignment horizontal="right" vertical="center" wrapText="1"/>
    </xf>
    <xf numFmtId="164" fontId="23" fillId="7" borderId="18" xfId="28" applyNumberFormat="1">
      <alignment horizontal="right" vertical="center"/>
    </xf>
    <xf numFmtId="3" fontId="24" fillId="20" borderId="14" xfId="41"/>
    <xf numFmtId="0" fontId="23" fillId="20" borderId="15" xfId="14">
      <alignment horizontal="left" vertical="center" wrapText="1" indent="1"/>
    </xf>
    <xf numFmtId="3" fontId="23" fillId="7" borderId="18" xfId="28" applyNumberFormat="1">
      <alignment horizontal="right" vertical="center"/>
    </xf>
    <xf numFmtId="2" fontId="0" fillId="2" borderId="0" xfId="0" applyNumberFormat="1">
      <alignment horizontal="left" vertical="center" wrapText="1"/>
    </xf>
    <xf numFmtId="9" fontId="23" fillId="7" borderId="18" xfId="28" applyNumberFormat="1">
      <alignment horizontal="right" vertical="center"/>
    </xf>
    <xf numFmtId="3" fontId="19" fillId="2" borderId="1" xfId="3">
      <alignment horizontal="left" vertical="center"/>
    </xf>
    <xf numFmtId="164" fontId="23" fillId="6" borderId="18" xfId="26" applyNumberFormat="1">
      <alignment horizontal="right" vertical="center" wrapText="1"/>
    </xf>
    <xf numFmtId="3" fontId="23" fillId="17" borderId="18" xfId="27" applyNumberFormat="1">
      <alignment horizontal="right" vertical="center" wrapText="1"/>
    </xf>
    <xf numFmtId="3" fontId="33" fillId="2" borderId="0" xfId="0" applyFont="1">
      <alignment horizontal="left" vertical="center" wrapText="1"/>
    </xf>
    <xf numFmtId="164" fontId="23" fillId="17" borderId="18" xfId="27" applyNumberFormat="1">
      <alignment horizontal="right" vertical="center" wrapText="1"/>
    </xf>
    <xf numFmtId="0" fontId="1" fillId="0" borderId="0" xfId="66"/>
    <xf numFmtId="3" fontId="1" fillId="0" borderId="0" xfId="66" applyNumberFormat="1"/>
    <xf numFmtId="0" fontId="1" fillId="26" borderId="0" xfId="66" applyFill="1"/>
    <xf numFmtId="0" fontId="34" fillId="0" borderId="0" xfId="66" applyFont="1"/>
    <xf numFmtId="3" fontId="16" fillId="2" borderId="0" xfId="25" applyBorder="1" applyAlignment="1">
      <alignment horizontal="left" vertical="center"/>
    </xf>
    <xf numFmtId="164" fontId="0" fillId="2" borderId="15" xfId="25" applyNumberFormat="1" applyFont="1">
      <alignment horizontal="right" vertical="center" wrapText="1"/>
    </xf>
    <xf numFmtId="3" fontId="21" fillId="2" borderId="0" xfId="50" applyFill="1" applyAlignment="1">
      <alignment horizontal="left" vertical="center"/>
    </xf>
    <xf numFmtId="3" fontId="21" fillId="2" borderId="15" xfId="50" applyFill="1" applyBorder="1" applyAlignment="1">
      <alignment horizontal="right" vertical="center" wrapText="1"/>
    </xf>
    <xf numFmtId="0" fontId="26" fillId="21" borderId="16" xfId="52">
      <alignment horizontal="left" vertical="center" wrapText="1"/>
    </xf>
    <xf numFmtId="3" fontId="25" fillId="14" borderId="21" xfId="58" applyAlignment="1">
      <alignment horizontal="centerContinuous" vertical="top"/>
    </xf>
    <xf numFmtId="3" fontId="23" fillId="18" borderId="0" xfId="59" applyBorder="1" applyAlignment="1">
      <alignment horizontal="centerContinuous" vertical="center" wrapText="1"/>
    </xf>
    <xf numFmtId="3" fontId="35" fillId="2" borderId="0" xfId="0" applyFont="1" applyAlignment="1">
      <alignment horizontal="centerContinuous" vertical="center" wrapText="1"/>
    </xf>
    <xf numFmtId="3" fontId="36" fillId="2" borderId="0" xfId="0" applyFont="1" applyAlignment="1">
      <alignment horizontal="centerContinuous" vertical="center" wrapText="1"/>
    </xf>
    <xf numFmtId="3" fontId="25" fillId="2" borderId="21" xfId="58" applyFill="1" applyAlignment="1">
      <alignment vertical="top" wrapText="1"/>
    </xf>
    <xf numFmtId="3" fontId="16" fillId="0" borderId="15" xfId="25" applyFill="1">
      <alignment horizontal="right" vertical="center" wrapText="1"/>
    </xf>
    <xf numFmtId="164" fontId="16" fillId="0" borderId="15" xfId="25" applyNumberFormat="1" applyFill="1">
      <alignment horizontal="right" vertical="center" wrapText="1"/>
    </xf>
    <xf numFmtId="10" fontId="16" fillId="0" borderId="15" xfId="25" applyNumberFormat="1" applyFill="1">
      <alignment horizontal="right" vertical="center" wrapText="1"/>
    </xf>
    <xf numFmtId="10" fontId="23" fillId="0" borderId="18" xfId="26" applyNumberFormat="1" applyFill="1">
      <alignment horizontal="right" vertical="center" wrapText="1"/>
    </xf>
    <xf numFmtId="9" fontId="23" fillId="0" borderId="18" xfId="26" applyNumberFormat="1" applyFill="1">
      <alignment horizontal="right" vertical="center" wrapText="1"/>
    </xf>
    <xf numFmtId="10" fontId="23" fillId="0" borderId="15" xfId="25" applyNumberFormat="1" applyFont="1" applyFill="1">
      <alignment horizontal="right" vertical="center" wrapText="1"/>
    </xf>
    <xf numFmtId="3" fontId="0" fillId="0" borderId="0" xfId="0" applyFill="1" applyAlignment="1">
      <alignment horizontal="left" vertical="center"/>
    </xf>
    <xf numFmtId="164" fontId="25" fillId="14" borderId="21" xfId="58" applyNumberFormat="1" applyAlignment="1">
      <alignment vertical="top" wrapText="1"/>
    </xf>
    <xf numFmtId="3" fontId="16" fillId="2" borderId="0" xfId="25" applyBorder="1" applyAlignment="1">
      <alignment vertical="center"/>
    </xf>
    <xf numFmtId="3" fontId="16" fillId="2" borderId="0" xfId="25" applyBorder="1" applyAlignment="1">
      <alignment horizontal="left" vertical="center" wrapText="1"/>
    </xf>
    <xf numFmtId="3" fontId="23" fillId="0" borderId="18" xfId="26" applyFill="1">
      <alignment horizontal="right" vertical="center" wrapText="1"/>
    </xf>
    <xf numFmtId="3" fontId="23" fillId="0" borderId="18" xfId="37" applyFill="1" applyBorder="1" applyAlignment="1">
      <alignment horizontal="right" vertical="center" wrapText="1"/>
    </xf>
    <xf numFmtId="3" fontId="23" fillId="0" borderId="18" xfId="28" applyFill="1" applyAlignment="1">
      <alignment horizontal="right" vertical="center" wrapText="1"/>
    </xf>
    <xf numFmtId="3" fontId="25" fillId="2" borderId="22" xfId="8" applyAlignment="1">
      <alignment vertical="center" wrapText="1"/>
    </xf>
    <xf numFmtId="10" fontId="25" fillId="2" borderId="22" xfId="8" applyNumberFormat="1" applyAlignment="1">
      <alignment vertical="center" wrapText="1"/>
    </xf>
    <xf numFmtId="3" fontId="23" fillId="0" borderId="18" xfId="28" applyNumberFormat="1" applyFill="1" applyAlignment="1">
      <alignment horizontal="right" vertical="center" wrapText="1"/>
    </xf>
    <xf numFmtId="3" fontId="23" fillId="0" borderId="18" xfId="28" quotePrefix="1" applyNumberFormat="1" applyFill="1" applyAlignment="1">
      <alignment horizontal="right" vertical="center" wrapText="1"/>
    </xf>
    <xf numFmtId="3" fontId="23" fillId="0" borderId="7" xfId="37" applyFill="1" applyAlignment="1">
      <alignment horizontal="right" vertical="center" wrapText="1"/>
    </xf>
    <xf numFmtId="3" fontId="23" fillId="0" borderId="18" xfId="27" applyNumberFormat="1" applyFill="1">
      <alignment horizontal="right" vertical="center" wrapText="1"/>
    </xf>
    <xf numFmtId="0" fontId="16" fillId="0" borderId="15" xfId="25" applyNumberFormat="1" applyFill="1">
      <alignment horizontal="right" vertical="center" wrapText="1"/>
    </xf>
    <xf numFmtId="3" fontId="0" fillId="0" borderId="15" xfId="25" applyFont="1" applyFill="1">
      <alignment horizontal="right" vertical="center" wrapText="1"/>
    </xf>
    <xf numFmtId="10" fontId="37" fillId="0" borderId="15" xfId="25" applyNumberFormat="1" applyFont="1" applyFill="1">
      <alignment horizontal="right" vertical="center" wrapText="1"/>
    </xf>
    <xf numFmtId="0" fontId="37" fillId="2" borderId="15" xfId="25" applyNumberFormat="1" applyFont="1">
      <alignment horizontal="right" vertical="center" wrapText="1"/>
    </xf>
    <xf numFmtId="3" fontId="37" fillId="2" borderId="15" xfId="25" applyFont="1">
      <alignment horizontal="right" vertical="center" wrapText="1"/>
    </xf>
    <xf numFmtId="3" fontId="38" fillId="2" borderId="15" xfId="50" applyFont="1" applyBorder="1" applyAlignment="1">
      <alignment horizontal="right" vertical="center" wrapText="1"/>
    </xf>
    <xf numFmtId="0" fontId="0" fillId="0" borderId="15" xfId="25" applyNumberFormat="1" applyFont="1" applyFill="1">
      <alignment horizontal="right" vertical="center" wrapText="1"/>
    </xf>
    <xf numFmtId="167" fontId="0" fillId="2" borderId="0" xfId="0" applyNumberFormat="1">
      <alignment horizontal="left" vertical="center" wrapText="1"/>
    </xf>
    <xf numFmtId="3" fontId="23" fillId="0" borderId="15" xfId="25" applyFont="1" applyFill="1">
      <alignment horizontal="right" vertical="center" wrapText="1"/>
    </xf>
    <xf numFmtId="9" fontId="16" fillId="2" borderId="15" xfId="25" applyNumberFormat="1">
      <alignment horizontal="right" vertical="center" wrapText="1"/>
    </xf>
    <xf numFmtId="0" fontId="27" fillId="20" borderId="15" xfId="10">
      <alignment horizontal="left" vertical="center" wrapText="1"/>
    </xf>
    <xf numFmtId="164" fontId="16" fillId="2" borderId="0" xfId="25" applyNumberFormat="1" applyBorder="1" applyAlignment="1">
      <alignment horizontal="left" vertical="center" wrapText="1"/>
    </xf>
    <xf numFmtId="164" fontId="23" fillId="0" borderId="7" xfId="28" applyNumberFormat="1" applyFill="1" applyBorder="1" applyAlignment="1">
      <alignment horizontal="right" vertical="center" wrapText="1"/>
    </xf>
    <xf numFmtId="164" fontId="25" fillId="2" borderId="22" xfId="8" applyNumberFormat="1" applyAlignment="1">
      <alignment horizontal="center" vertical="center"/>
    </xf>
    <xf numFmtId="164" fontId="23" fillId="7" borderId="7" xfId="28" applyNumberFormat="1" applyBorder="1">
      <alignment horizontal="right" vertical="center"/>
    </xf>
    <xf numFmtId="164" fontId="23" fillId="15" borderId="7" xfId="51" applyNumberFormat="1">
      <alignment horizontal="right" vertical="center"/>
    </xf>
    <xf numFmtId="164" fontId="23" fillId="15" borderId="18" xfId="51" applyNumberFormat="1" applyBorder="1">
      <alignment horizontal="right" vertical="center"/>
    </xf>
    <xf numFmtId="164" fontId="23" fillId="26" borderId="18" xfId="28" applyNumberFormat="1" applyFill="1">
      <alignment horizontal="right" vertical="center"/>
    </xf>
    <xf numFmtId="164" fontId="0" fillId="0" borderId="15" xfId="25" applyNumberFormat="1" applyFont="1" applyFill="1">
      <alignment horizontal="right" vertical="center" wrapText="1"/>
    </xf>
    <xf numFmtId="164" fontId="23" fillId="0" borderId="18" xfId="28" applyNumberFormat="1" applyFill="1" applyAlignment="1">
      <alignment horizontal="right" vertical="center" wrapText="1"/>
    </xf>
    <xf numFmtId="9" fontId="25" fillId="14" borderId="21" xfId="58" applyNumberFormat="1" applyAlignment="1">
      <alignment vertical="top" wrapText="1"/>
    </xf>
    <xf numFmtId="9" fontId="0" fillId="2" borderId="0" xfId="0" applyNumberFormat="1">
      <alignment horizontal="left" vertical="center" wrapText="1"/>
    </xf>
    <xf numFmtId="164" fontId="23" fillId="2" borderId="0" xfId="51" applyNumberFormat="1" applyFill="1" applyBorder="1">
      <alignment horizontal="right" vertical="center"/>
    </xf>
    <xf numFmtId="164" fontId="23" fillId="17" borderId="7" xfId="27" applyNumberFormat="1" applyBorder="1">
      <alignment horizontal="right" vertical="center" wrapText="1"/>
    </xf>
    <xf numFmtId="3" fontId="23" fillId="0" borderId="0" xfId="37" applyFill="1" applyBorder="1" applyAlignment="1">
      <alignment horizontal="right" vertical="center" wrapText="1"/>
    </xf>
    <xf numFmtId="9" fontId="17" fillId="2" borderId="8" xfId="1" applyNumberFormat="1">
      <alignment horizontal="left" vertical="center"/>
    </xf>
    <xf numFmtId="164" fontId="25" fillId="14" borderId="23" xfId="58" applyNumberFormat="1" applyBorder="1" applyAlignment="1">
      <alignment vertical="top" wrapText="1"/>
    </xf>
    <xf numFmtId="9" fontId="23" fillId="2" borderId="6" xfId="5" applyNumberFormat="1">
      <alignment horizontal="right" vertical="center" wrapText="1"/>
    </xf>
    <xf numFmtId="3" fontId="32" fillId="14" borderId="25" xfId="58" applyFont="1" applyBorder="1" applyAlignment="1">
      <alignment horizontal="center" vertical="top"/>
    </xf>
    <xf numFmtId="3" fontId="32" fillId="14" borderId="20" xfId="58" applyFont="1" applyBorder="1" applyAlignment="1">
      <alignment horizontal="center" vertical="top"/>
    </xf>
    <xf numFmtId="3" fontId="25" fillId="14" borderId="25" xfId="58" applyBorder="1" applyAlignment="1">
      <alignment horizontal="left" vertical="top"/>
    </xf>
    <xf numFmtId="3" fontId="16" fillId="2" borderId="32" xfId="25" applyBorder="1" applyAlignment="1">
      <alignment horizontal="left" vertical="center" wrapText="1"/>
    </xf>
    <xf numFmtId="3" fontId="16" fillId="2" borderId="34" xfId="25" applyBorder="1" applyAlignment="1">
      <alignment horizontal="left" vertical="center" wrapText="1"/>
    </xf>
    <xf numFmtId="3" fontId="23" fillId="18" borderId="30" xfId="59" applyBorder="1" applyAlignment="1">
      <alignment horizontal="left" vertical="center" wrapText="1"/>
    </xf>
    <xf numFmtId="3" fontId="23" fillId="18" borderId="27" xfId="59" applyBorder="1" applyAlignment="1">
      <alignment horizontal="left" vertical="center" wrapText="1"/>
    </xf>
    <xf numFmtId="3" fontId="23" fillId="18" borderId="28" xfId="59" applyBorder="1" applyAlignment="1">
      <alignment horizontal="left" vertical="center" wrapText="1"/>
    </xf>
    <xf numFmtId="3" fontId="16" fillId="2" borderId="42" xfId="25" applyBorder="1" applyAlignment="1">
      <alignment horizontal="left" vertical="center" wrapText="1"/>
    </xf>
    <xf numFmtId="3" fontId="16" fillId="2" borderId="35" xfId="25" applyBorder="1" applyAlignment="1">
      <alignment horizontal="left" vertical="center" wrapText="1"/>
    </xf>
    <xf numFmtId="3" fontId="0" fillId="2" borderId="34" xfId="25" applyFont="1" applyBorder="1" applyAlignment="1">
      <alignment horizontal="left" vertical="center" wrapText="1"/>
    </xf>
    <xf numFmtId="3" fontId="0" fillId="2" borderId="0" xfId="0">
      <alignment horizontal="left" vertical="center" wrapText="1"/>
    </xf>
    <xf numFmtId="0" fontId="26" fillId="21" borderId="31" xfId="53" applyBorder="1" applyAlignment="1">
      <alignment horizontal="center" vertical="center" wrapText="1"/>
    </xf>
    <xf numFmtId="3" fontId="16" fillId="2" borderId="15" xfId="25">
      <alignment horizontal="right" vertical="center" wrapText="1"/>
    </xf>
    <xf numFmtId="0" fontId="26" fillId="21" borderId="43" xfId="53" applyBorder="1" applyAlignment="1">
      <alignment horizontal="center" vertical="center" wrapText="1"/>
    </xf>
    <xf numFmtId="0" fontId="26" fillId="21" borderId="44" xfId="53" applyBorder="1" applyAlignment="1">
      <alignment horizontal="center" vertical="center" wrapText="1"/>
    </xf>
    <xf numFmtId="3" fontId="23" fillId="18" borderId="36" xfId="59" applyBorder="1" applyAlignment="1">
      <alignment horizontal="center" vertical="center" wrapText="1"/>
    </xf>
    <xf numFmtId="3" fontId="23" fillId="18" borderId="37" xfId="59" applyBorder="1" applyAlignment="1">
      <alignment horizontal="center" vertical="center" wrapText="1"/>
    </xf>
    <xf numFmtId="164" fontId="16" fillId="2" borderId="15" xfId="25" applyNumberFormat="1">
      <alignment horizontal="right" vertical="center" wrapText="1"/>
    </xf>
    <xf numFmtId="3" fontId="0" fillId="2" borderId="39" xfId="25" applyFont="1" applyBorder="1" applyAlignment="1">
      <alignment horizontal="center" vertical="center" wrapText="1"/>
    </xf>
    <xf numFmtId="3" fontId="0" fillId="2" borderId="40" xfId="25" applyFont="1" applyBorder="1" applyAlignment="1">
      <alignment horizontal="center" vertical="center" wrapText="1"/>
    </xf>
    <xf numFmtId="3" fontId="0" fillId="2" borderId="41" xfId="25" applyFont="1" applyBorder="1" applyAlignment="1">
      <alignment horizontal="center" vertical="center" wrapText="1"/>
    </xf>
    <xf numFmtId="3" fontId="23" fillId="18" borderId="38" xfId="59" applyBorder="1" applyAlignment="1">
      <alignment horizontal="center" vertical="center" wrapText="1"/>
    </xf>
    <xf numFmtId="3" fontId="25" fillId="14" borderId="26" xfId="58" applyBorder="1" applyAlignment="1">
      <alignment horizontal="left" vertical="top"/>
    </xf>
    <xf numFmtId="3" fontId="16" fillId="2" borderId="33" xfId="25" applyBorder="1" applyAlignment="1">
      <alignment horizontal="left" vertical="center" wrapText="1"/>
    </xf>
    <xf numFmtId="3" fontId="16" fillId="2" borderId="15" xfId="25" applyAlignment="1">
      <alignment horizontal="left" vertical="center" wrapText="1"/>
    </xf>
    <xf numFmtId="3" fontId="25" fillId="16" borderId="19" xfId="55" applyAlignment="1">
      <alignment horizontal="center" vertical="center"/>
    </xf>
    <xf numFmtId="3" fontId="23" fillId="18" borderId="45" xfId="59" applyBorder="1" applyAlignment="1">
      <alignment horizontal="left" vertical="center" wrapText="1"/>
    </xf>
    <xf numFmtId="3" fontId="16" fillId="2" borderId="46" xfId="25" applyBorder="1" applyAlignment="1">
      <alignment horizontal="left" vertical="center" wrapText="1"/>
    </xf>
    <xf numFmtId="3" fontId="25" fillId="14" borderId="20" xfId="58" applyBorder="1" applyAlignment="1">
      <alignment horizontal="left" vertical="top"/>
    </xf>
    <xf numFmtId="3" fontId="0" fillId="2" borderId="20" xfId="0" applyBorder="1" applyAlignment="1">
      <alignment horizontal="center" vertical="top"/>
    </xf>
  </cellXfs>
  <cellStyles count="67">
    <cellStyle name="20 % - Akzent1" xfId="10" builtinId="30" customBuiltin="1"/>
    <cellStyle name="20 % - Akzent2" xfId="14" builtinId="34" customBuiltin="1"/>
    <cellStyle name="20 % - Akzent3" xfId="18" builtinId="38" customBuiltin="1"/>
    <cellStyle name="20 % - Akzent4" xfId="22" builtinId="42" customBuiltin="1"/>
    <cellStyle name="20 % - Akzent5" xfId="30" builtinId="46" customBuiltin="1"/>
    <cellStyle name="20 % - Akzent6" xfId="34" builtinId="50" customBuiltin="1"/>
    <cellStyle name="40 % - Akzent1" xfId="11" builtinId="31" customBuiltin="1"/>
    <cellStyle name="40 % - Akzent2" xfId="15" builtinId="35" customBuiltin="1"/>
    <cellStyle name="40 % - Akzent3" xfId="19" builtinId="39" customBuiltin="1"/>
    <cellStyle name="40 % - Akzent4" xfId="23" builtinId="43" customBuiltin="1"/>
    <cellStyle name="40 % - Akzent5" xfId="31" builtinId="47" customBuiltin="1"/>
    <cellStyle name="40 % - Akzent6" xfId="35" builtinId="51" customBuiltin="1"/>
    <cellStyle name="60 % - Akzent1" xfId="12" builtinId="32" hidden="1" customBuiltin="1"/>
    <cellStyle name="60 % - Akzent2" xfId="16" builtinId="36" hidden="1" customBuiltin="1"/>
    <cellStyle name="60 % - Akzent3" xfId="20" builtinId="40" hidden="1" customBuiltin="1"/>
    <cellStyle name="60 % - Akzent4" xfId="24" builtinId="44" hidden="1" customBuiltin="1"/>
    <cellStyle name="60 % - Akzent5" xfId="32" builtinId="48" hidden="1" customBuiltin="1"/>
    <cellStyle name="60 % - Akzent6" xfId="36" builtinId="52" hidden="1" customBuiltin="1"/>
    <cellStyle name="Akzent1" xfId="9" builtinId="29" customBuiltin="1"/>
    <cellStyle name="Akzent2" xfId="13" builtinId="33" customBuiltin="1"/>
    <cellStyle name="Akzent3" xfId="17" builtinId="37" customBuiltin="1"/>
    <cellStyle name="Akzent4" xfId="21" builtinId="41" customBuiltin="1"/>
    <cellStyle name="Akzent5" xfId="29" builtinId="45" hidden="1" customBuiltin="1"/>
    <cellStyle name="Akzent6" xfId="33" builtinId="49" hidden="1" customBuiltin="1"/>
    <cellStyle name="Ausgabe" xfId="46" builtinId="21" hidden="1"/>
    <cellStyle name="Berechnung" xfId="6" builtinId="22" hidden="1" customBuiltin="1"/>
    <cellStyle name="Besuchter Hyperlink" xfId="54" builtinId="9"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olumn Header" xfId="53" xr:uid="{00000000-0005-0000-0000-00001E000000}"/>
    <cellStyle name="Data Table" xfId="25" xr:uid="{00000000-0005-0000-0000-00001F000000}"/>
    <cellStyle name="Description" xfId="38" xr:uid="{00000000-0005-0000-0000-000020000000}"/>
    <cellStyle name="Dezimal [0]" xfId="61" builtinId="6" hidden="1"/>
    <cellStyle name="Eingabe" xfId="5" builtinId="20" customBuiltin="1"/>
    <cellStyle name="Ergebnis" xfId="8" builtinId="25" customBuiltin="1"/>
    <cellStyle name="Erklärender Text" xfId="49" builtinId="53" hidden="1"/>
    <cellStyle name="Gut" xfId="43" builtinId="26" hidden="1"/>
    <cellStyle name="Komma" xfId="60" builtinId="3" hidden="1"/>
    <cellStyle name="Link" xfId="40" builtinId="8" hidden="1"/>
    <cellStyle name="Link" xfId="50" builtinId="8" customBuiltin="1"/>
    <cellStyle name="Link to Another File" xfId="51" xr:uid="{00000000-0005-0000-0000-00002A000000}"/>
    <cellStyle name="Link to This File" xfId="28" xr:uid="{00000000-0005-0000-0000-00002B000000}"/>
    <cellStyle name="Neutral" xfId="45" builtinId="28" hidden="1"/>
    <cellStyle name="Normal 2" xfId="65" xr:uid="{48891B91-D44F-4B87-8E61-DDACC6161A1D}"/>
    <cellStyle name="Normal 2 2" xfId="66" xr:uid="{5F985F1B-8454-4129-BFA6-98950841B80F}"/>
    <cellStyle name="Notiz" xfId="48" builtinId="10" hidden="1"/>
    <cellStyle name="Output to another file" xfId="37" xr:uid="{00000000-0005-0000-0000-000031000000}"/>
    <cellStyle name="Prozent" xfId="64" builtinId="5" hidden="1"/>
    <cellStyle name="Row Header" xfId="52" xr:uid="{00000000-0005-0000-0000-000032000000}"/>
    <cellStyle name="Schlecht" xfId="44" builtinId="27" hidden="1"/>
    <cellStyle name="Standard" xfId="0" builtinId="0" customBuiltin="1"/>
    <cellStyle name="Table1" xfId="56" xr:uid="{3C79BCDE-0A32-49AE-8A51-D12195ADB75D}"/>
    <cellStyle name="Table1 Header" xfId="55" xr:uid="{1959DFBF-24A6-418D-BA79-A59F5B55AC94}"/>
    <cellStyle name="Table2" xfId="57" xr:uid="{0B76F790-A530-48F9-BED7-9A160EC3A9DB}"/>
    <cellStyle name="Table3 Header" xfId="58" xr:uid="{ACF3005D-CC9D-464E-93B5-531F4507F045}"/>
    <cellStyle name="Table3 Row" xfId="59" xr:uid="{CD40172C-E5C3-4A70-9BD5-59356016CC64}"/>
    <cellStyle name="Überschrift" xfId="42" builtinId="15" hidde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39" builtinId="24" hidden="1"/>
    <cellStyle name="Währung" xfId="62" builtinId="4" hidden="1"/>
    <cellStyle name="Währung [0]" xfId="63" builtinId="7" hidden="1"/>
    <cellStyle name="Warnender Text" xfId="47" builtinId="11" hidden="1"/>
    <cellStyle name="Zelle überprüfen" xfId="7" builtinId="23" customBuiltin="1"/>
  </cellStyles>
  <dxfs count="7">
    <dxf>
      <font>
        <color rgb="FF9C0006"/>
      </font>
    </dxf>
    <dxf>
      <fill>
        <patternFill>
          <bgColor rgb="FFFFC000"/>
        </patternFill>
      </fill>
    </dxf>
    <dxf>
      <font>
        <color auto="1"/>
      </font>
      <fill>
        <patternFill>
          <bgColor rgb="FFFF0000"/>
        </patternFill>
      </fill>
    </dxf>
    <dxf>
      <font>
        <color auto="1"/>
      </font>
      <fill>
        <patternFill>
          <bgColor rgb="FF92D050"/>
        </patternFill>
      </fill>
    </dxf>
    <dxf>
      <fill>
        <patternFill>
          <bgColor rgb="FFFFC000"/>
        </patternFill>
      </fill>
    </dxf>
    <dxf>
      <font>
        <color auto="1"/>
      </font>
      <fill>
        <patternFill>
          <bgColor rgb="FFFF0000"/>
        </patternFill>
      </fill>
    </dxf>
    <dxf>
      <font>
        <color auto="1"/>
      </font>
      <fill>
        <patternFill>
          <bgColor rgb="FF92D050"/>
        </patternFill>
      </fill>
    </dxf>
  </dxfs>
  <tableStyles count="0" defaultTableStyle="TableStyleMedium2" defaultPivotStyle="PivotStyleLight16"/>
  <colors>
    <mruColors>
      <color rgb="FFD4F1EB"/>
      <color rgb="FF7DD4C4"/>
      <color rgb="FFA8E2D8"/>
      <color rgb="FF135C4E"/>
      <color rgb="FF1D8976"/>
      <color rgb="FFFCE4D7"/>
      <color rgb="FF858585"/>
      <color rgb="FF5C5C5C"/>
      <color rgb="FF93A1A9"/>
      <color rgb="FFD7D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590550</xdr:colOff>
      <xdr:row>2</xdr:row>
      <xdr:rowOff>114300</xdr:rowOff>
    </xdr:from>
    <xdr:ext cx="1705768" cy="315303"/>
    <xdr:pic>
      <xdr:nvPicPr>
        <xdr:cNvPr id="2" name="Picture 5">
          <a:extLst>
            <a:ext uri="{FF2B5EF4-FFF2-40B4-BE49-F238E27FC236}">
              <a16:creationId xmlns:a16="http://schemas.microsoft.com/office/drawing/2014/main" id="{C7B2E939-0C23-41A0-BD43-F699C134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590550" y="457200"/>
          <a:ext cx="1705768" cy="315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600075</xdr:colOff>
      <xdr:row>2</xdr:row>
      <xdr:rowOff>0</xdr:rowOff>
    </xdr:from>
    <xdr:ext cx="2124075" cy="712173"/>
    <xdr:pic>
      <xdr:nvPicPr>
        <xdr:cNvPr id="3" name="Picture 2" descr="A logo featuring a three-dimensional, crisscrossing wireframe globe on the left. To the right, the words &quot;INTERNATIONAL ALUMINIUM INSTITUTE&quot; are displayed, with &quot;INTERNATIONAL&quot; in gray and &quot;ALUMINIUM INSTITUTE&quot; in turquoise.">
          <a:extLst>
            <a:ext uri="{FF2B5EF4-FFF2-40B4-BE49-F238E27FC236}">
              <a16:creationId xmlns:a16="http://schemas.microsoft.com/office/drawing/2014/main" id="{83A460B2-55C8-4DFF-B72B-374356B240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72325" y="342900"/>
          <a:ext cx="2124075" cy="712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unomiacouk.sharepoint.com/sites/EunomiaDrive/Operations/Projects/Live/International%20Aluminium%20Institute%20-%204853%20-%20Beverage%20Recycling%20Dataset/0.3%20Delivery/04%20Deliverables/Report/01%20First%20Draft/02%20Sent%20to%20Client/Eunomia_IAI%20Global%20Recycling%20Rates%20Draft%20V1.0.xlsx" TargetMode="External"/><Relationship Id="rId2" Type="http://schemas.microsoft.com/office/2019/04/relationships/externalLinkLongPath" Target="https://eunomiacouk.sharepoint.com/sites/EunomiaDrive/Operations/Projects/Live/International%20Aluminium%20Institute%20-%204853%20-%20Beverage%20Recycling%20Dataset/0.3%20Delivery/04%20Deliverables/Report/02%20Final%20Version/02%20Sent%20to%20Client/Eunomia_IAI%20Global%20Recycling%20Rates%20Draft%20V1.0.xlsx?E3B3EA13" TargetMode="External"/><Relationship Id="rId1" Type="http://schemas.openxmlformats.org/officeDocument/2006/relationships/externalLinkPath" Target="file:///\\E3B3EA13\Eunomia_IAI%20Global%20Recycling%20Rates%20Draft%20V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laire.Chu\Downloads\Eunomia-Material-Flow-Model-Data-2%20(7).xlsx" TargetMode="External"/><Relationship Id="rId1" Type="http://schemas.openxmlformats.org/officeDocument/2006/relationships/externalLinkPath" Target="file:///C:\Users\Claire.Chu\Downloads\Eunomia-Material-Flow-Model-Data-2%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itle Page"/>
      <sheetName val="Key"/>
      <sheetName val="Assumptions"/>
      <sheetName val="Outputs &gt;&gt;"/>
      <sheetName val="Summary"/>
      <sheetName val="Aluminium"/>
      <sheetName val="Glass"/>
      <sheetName val="PET"/>
      <sheetName val="Reloop POM Values"/>
      <sheetName val="Sources"/>
      <sheetName val="Lists"/>
    </sheetNames>
    <sheetDataSet>
      <sheetData sheetId="0"/>
      <sheetData sheetId="1"/>
      <sheetData sheetId="2"/>
      <sheetData sheetId="3"/>
      <sheetData sheetId="4"/>
      <sheetData sheetId="5">
        <row r="14">
          <cell r="D14">
            <v>326075.50949999999</v>
          </cell>
          <cell r="F14">
            <v>325097.28297150001</v>
          </cell>
          <cell r="H14">
            <v>291982.04359093634</v>
          </cell>
        </row>
        <row r="18">
          <cell r="D18">
            <v>672078.02025000006</v>
          </cell>
          <cell r="F18">
            <v>658636.45984500006</v>
          </cell>
          <cell r="H18">
            <v>604450.36477157683</v>
          </cell>
        </row>
        <row r="22">
          <cell r="D22">
            <v>779000</v>
          </cell>
          <cell r="F22">
            <v>646176.15295292635</v>
          </cell>
          <cell r="H22">
            <v>580355</v>
          </cell>
        </row>
        <row r="28">
          <cell r="D28">
            <v>314645</v>
          </cell>
          <cell r="F28">
            <v>314015.71000000002</v>
          </cell>
          <cell r="H28">
            <v>282029.26793914993</v>
          </cell>
        </row>
        <row r="44">
          <cell r="D44">
            <v>1400693.23856</v>
          </cell>
          <cell r="F44">
            <v>602298.09258079994</v>
          </cell>
          <cell r="H44">
            <v>540946.47090016399</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5">
          <cell r="G15">
            <v>107084.22031378548</v>
          </cell>
          <cell r="H15">
            <v>384834.3188689563</v>
          </cell>
          <cell r="Y15">
            <v>488300.37349274021</v>
          </cell>
        </row>
        <row r="16">
          <cell r="G16">
            <v>225820.03964123176</v>
          </cell>
          <cell r="H16">
            <v>421984.48520595575</v>
          </cell>
          <cell r="Y16">
            <v>573936.69082548725</v>
          </cell>
        </row>
        <row r="17">
          <cell r="G17"/>
          <cell r="H17">
            <v>329000</v>
          </cell>
          <cell r="Y17">
            <v>324000</v>
          </cell>
        </row>
        <row r="18">
          <cell r="G18"/>
          <cell r="H18">
            <v>370440.2</v>
          </cell>
          <cell r="Y18">
            <v>366735.79800000001</v>
          </cell>
        </row>
        <row r="19">
          <cell r="G19"/>
          <cell r="H19">
            <v>1127000</v>
          </cell>
          <cell r="Y19">
            <v>1093956.9350000001</v>
          </cell>
        </row>
      </sheetData>
    </sheetDataSet>
  </externalBook>
</externalLink>
</file>

<file path=xl/persons/person.xml><?xml version="1.0" encoding="utf-8"?>
<personList xmlns="http://schemas.microsoft.com/office/spreadsheetml/2018/threadedcomments" xmlns:x="http://schemas.openxmlformats.org/spreadsheetml/2006/main">
  <person displayName="Amie Walley" id="{D10934BB-E54E-44D7-8BEC-4C00911A19DC}" userId="S::amie.walley@eunomia.co.uk::c9e476e4-078d-487a-92b7-0a844752dff4" providerId="AD"/>
  <person displayName="Connie Vickers" id="{0BAD9C31-EF47-487B-BE2E-1E4531032DAC}" userId="S::connie.vickers@eunomia.co.uk::5ef59673-f36c-4c66-b297-e33b48b873b8" providerId="AD"/>
</personList>
</file>

<file path=xl/theme/theme1.xml><?xml version="1.0" encoding="utf-8"?>
<a:theme xmlns:a="http://schemas.openxmlformats.org/drawingml/2006/main" name="Office Theme">
  <a:themeElements>
    <a:clrScheme name="Eunomia2023">
      <a:dk1>
        <a:sysClr val="windowText" lastClr="000000"/>
      </a:dk1>
      <a:lt1>
        <a:sysClr val="window" lastClr="FFFFFF"/>
      </a:lt1>
      <a:dk2>
        <a:srgbClr val="333333"/>
      </a:dk2>
      <a:lt2>
        <a:srgbClr val="93A1A9"/>
      </a:lt2>
      <a:accent1>
        <a:srgbClr val="26B79D"/>
      </a:accent1>
      <a:accent2>
        <a:srgbClr val="EF7937"/>
      </a:accent2>
      <a:accent3>
        <a:srgbClr val="F2C536"/>
      </a:accent3>
      <a:accent4>
        <a:srgbClr val="3745C3"/>
      </a:accent4>
      <a:accent5>
        <a:srgbClr val="FF8989"/>
      </a:accent5>
      <a:accent6>
        <a:srgbClr val="64358E"/>
      </a:accent6>
      <a:hlink>
        <a:srgbClr val="3745C3"/>
      </a:hlink>
      <a:folHlink>
        <a:srgbClr val="64358E"/>
      </a:folHlink>
    </a:clrScheme>
    <a:fontScheme name="Custom 1">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 dT="2025-08-08T11:00:30.11" personId="{D10934BB-E54E-44D7-8BEC-4C00911A19DC}" id="{CE9969F9-A9D6-44DD-AFB6-AA7B66E975E6}">
    <text>Please note figures in this column for ‘Aluminium beverage cans’ reflect the raw data from Reloop which is for ‘Metal beverage cans’ and includes both aluminium and steel</text>
  </threadedComment>
  <threadedComment ref="P83" dT="2025-08-07T12:15:16.03" personId="{0BAD9C31-EF47-487B-BE2E-1E4531032DAC}" id="{C5262D09-8805-4D99-A635-A93A12C4E986}">
    <text>Rate calculated using the recycled tonnage and POM data found within source.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emerchx.com/blog-aluminum-recycling-process-india.html" TargetMode="External"/><Relationship Id="rId3" Type="http://schemas.openxmlformats.org/officeDocument/2006/relationships/hyperlink" Target="https://www.indiaplasticspact.org/uploads/1703753076document.pdf" TargetMode="External"/><Relationship Id="rId7" Type="http://schemas.openxmlformats.org/officeDocument/2006/relationships/hyperlink" Target="https://www.wtert.net/paper/4414/Current-State-of-Waste-Management-in-Mexico-City.html" TargetMode="External"/><Relationship Id="rId2" Type="http://schemas.openxmlformats.org/officeDocument/2006/relationships/hyperlink" Target="https://www.recyclingnetwork.ca/?AA=Download&amp;AT=106&amp;AD=6,Dlf1" TargetMode="External"/><Relationship Id="rId1" Type="http://schemas.openxmlformats.org/officeDocument/2006/relationships/hyperlink" Target="https://unesda.eu/wp-content/uploads/2024/05/PET-plastic-Market-in-Europe-State-of-Play-Production-Collection-Recycling-Data_2022.pdf" TargetMode="External"/><Relationship Id="rId6" Type="http://schemas.openxmlformats.org/officeDocument/2006/relationships/hyperlink" Target="https://closetheglassloop.eu/wp-content/uploads/2023/05/Packaging-Glass-Recycling-in-Europe-Performance-Report-2023.pdf" TargetMode="External"/><Relationship Id="rId5" Type="http://schemas.openxmlformats.org/officeDocument/2006/relationships/hyperlink" Target="https://napcor.com/news/2023-pet-bottle-recycling-reach-new-heights/" TargetMode="External"/><Relationship Id="rId4" Type="http://schemas.openxmlformats.org/officeDocument/2006/relationships/hyperlink" Target="https://www.petbottle-rec.gr.jp/nenji/2024/202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gacircular.com/_files/ugd/d424f7_d612161763824d3b9fbbf00affea9a9f.pdf" TargetMode="External"/><Relationship Id="rId21" Type="http://schemas.openxmlformats.org/officeDocument/2006/relationships/hyperlink" Target="https://cygm.csb.gov.tr/dongusel-ekonomi-ve-atik-yonetimi-dairesi-baskanligi-i-85475" TargetMode="External"/><Relationship Id="rId42" Type="http://schemas.openxmlformats.org/officeDocument/2006/relationships/hyperlink" Target="https://eg.coca-colahellenic.com/en/a-more-sustainable-future" TargetMode="External"/><Relationship Id="rId47" Type="http://schemas.openxmlformats.org/officeDocument/2006/relationships/hyperlink" Target="https://www.indiaplasticspact.org/uploads/1703753076document.pdf" TargetMode="External"/><Relationship Id="rId63" Type="http://schemas.openxmlformats.org/officeDocument/2006/relationships/hyperlink" Target="https://unesda.eu/wp-content/uploads/2024/05/PET-plastic-Market-in-Europe-State-of-Play-Production-Collection-Recycling-Data_2022.pdf" TargetMode="External"/><Relationship Id="rId68" Type="http://schemas.openxmlformats.org/officeDocument/2006/relationships/hyperlink" Target="https://unesda.eu/wp-content/uploads/2024/05/PET-plastic-Market-in-Europe-State-of-Play-Production-Collection-Recycling-Data_2022.pdf" TargetMode="External"/><Relationship Id="rId84" Type="http://schemas.openxmlformats.org/officeDocument/2006/relationships/hyperlink" Target="https://international-aluminium.org/wp-content/uploads/2023/09/Can-Study-factsheet-FINAL.pdf" TargetMode="External"/><Relationship Id="rId89" Type="http://schemas.openxmlformats.org/officeDocument/2006/relationships/comments" Target="../comments1.xml"/><Relationship Id="rId16" Type="http://schemas.openxmlformats.org/officeDocument/2006/relationships/hyperlink" Target="https://unesda.eu/wp-content/uploads/2024/05/PET-plastic-Market-in-Europe-State-of-Play-Production-Collection-Recycling-Data_2022.pdf" TargetMode="External"/><Relationship Id="rId11" Type="http://schemas.openxmlformats.org/officeDocument/2006/relationships/hyperlink" Target="https://anir.cl/Estudio2023/" TargetMode="External"/><Relationship Id="rId32" Type="http://schemas.openxmlformats.org/officeDocument/2006/relationships/hyperlink" Target="https://latitudr.org/wp-content/uploads/2020/10/LatitudR_Circularidad_envases_AL_resumen.pdf." TargetMode="External"/><Relationship Id="rId37" Type="http://schemas.openxmlformats.org/officeDocument/2006/relationships/hyperlink" Target="https://www.aluminum.org/sites/default/files/2024-12/FINAL-2024_Aluminum-Can-KPI-Report.pdf" TargetMode="External"/><Relationship Id="rId53" Type="http://schemas.openxmlformats.org/officeDocument/2006/relationships/hyperlink" Target="https://www.alumi-can.or.jp/" TargetMode="External"/><Relationship Id="rId58" Type="http://schemas.openxmlformats.org/officeDocument/2006/relationships/hyperlink" Target="https://www.mercadocircular.com/the-most-recycled-plastics-in-chile-a-step-towards-sustainability/" TargetMode="External"/><Relationship Id="rId74" Type="http://schemas.openxmlformats.org/officeDocument/2006/relationships/hyperlink" Target="https://napcor.com/news/2023-pet-bottle-recycling-reach-new-heights/" TargetMode="External"/><Relationship Id="rId79" Type="http://schemas.openxmlformats.org/officeDocument/2006/relationships/hyperlink" Target="https://www.aluminum.org/sites/default/files/2024-12/FINAL-2024_Aluminum-Can-KPI-Report.pdf" TargetMode="External"/><Relationship Id="rId5" Type="http://schemas.openxmlformats.org/officeDocument/2006/relationships/hyperlink" Target="https://www.swirecocacola.com/sbcorpweb/uploads/docs/SCC_SR2023_PriPP_EN.pdf" TargetMode="External"/><Relationship Id="rId90" Type="http://schemas.microsoft.com/office/2017/10/relationships/threadedComment" Target="../threadedComments/threadedComment1.xml"/><Relationship Id="rId14" Type="http://schemas.openxmlformats.org/officeDocument/2006/relationships/hyperlink" Target="https://faolex.fao.org/docs/pdf/nig214338.pdf" TargetMode="External"/><Relationship Id="rId22" Type="http://schemas.openxmlformats.org/officeDocument/2006/relationships/hyperlink" Target="https://www.giz.de/en/downloads/GBN_SectorBrief_%C3%84thiopien-Recyling_E_WEB.pdf" TargetMode="External"/><Relationship Id="rId27" Type="http://schemas.openxmlformats.org/officeDocument/2006/relationships/hyperlink" Target="https://www.gacircular.com/_files/ugd/d424f7_d612161763824d3b9fbbf00affea9a9f.pdf" TargetMode="External"/><Relationship Id="rId30" Type="http://schemas.openxmlformats.org/officeDocument/2006/relationships/hyperlink" Target="https://latitudr.org/wp-content/uploads/2020/10/LatitudR_Circularidad_envases_AL_resumen.pdf." TargetMode="External"/><Relationship Id="rId35" Type="http://schemas.openxmlformats.org/officeDocument/2006/relationships/hyperlink" Target="https://www.reloopplatform.org/wp-content/uploads/2024/12/Reloop-Global-Deposit-Book-2024.pdf" TargetMode="External"/><Relationship Id="rId43" Type="http://schemas.openxmlformats.org/officeDocument/2006/relationships/hyperlink" Target="https://www.globalplasticaction.org/case-study-details/pakistan-national-action-roadmap-to-reduce-plastic-pollution/aJYTG0000000Pcj4AE" TargetMode="External"/><Relationship Id="rId48" Type="http://schemas.openxmlformats.org/officeDocument/2006/relationships/hyperlink" Target="https://www.reloopplatform.org/wp-content/uploads/2024/12/Reloop-Global-Deposit-Book-2024.pdf" TargetMode="External"/><Relationship Id="rId56" Type="http://schemas.openxmlformats.org/officeDocument/2006/relationships/hyperlink" Target="https://www.aluminium-journal.com/new-record-in-aluminium-beverage-can-recycling" TargetMode="External"/><Relationship Id="rId64" Type="http://schemas.openxmlformats.org/officeDocument/2006/relationships/hyperlink" Target="https://view.officeapps.live.com/op/view.aspx?src=https%3A%2F%2Fclosetheglassloop.eu%2Fwp-content%2Fuploads%2F2023%2F06%2F2022-Collection-for-Recycling-Stats-vFINAL.xlsx&amp;wdOrigin=BROWSELINK" TargetMode="External"/><Relationship Id="rId69" Type="http://schemas.openxmlformats.org/officeDocument/2006/relationships/hyperlink" Target="https://view.officeapps.live.com/op/view.aspx?src=https%3A%2F%2Fclosetheglassloop.eu%2Fwp-content%2Fuploads%2F2023%2F06%2F2022-Collection-for-Recycling-Stats-vFINAL.xlsx&amp;wdOrigin=BROWSELINK" TargetMode="External"/><Relationship Id="rId77" Type="http://schemas.openxmlformats.org/officeDocument/2006/relationships/hyperlink" Target="https://documents.packagingcovenant.org.au/public-documents/APCO%20Australian%20Packaging%20Consumption%20and%20Recovery%20Data%202022-23" TargetMode="External"/><Relationship Id="rId8" Type="http://schemas.openxmlformats.org/officeDocument/2006/relationships/hyperlink" Target="https://sustainability.thaibev.com/en/index.php" TargetMode="External"/><Relationship Id="rId51" Type="http://schemas.openxmlformats.org/officeDocument/2006/relationships/hyperlink" Target="https://creon-group.com/en/the-russian-pet-market-will-struggle-for-raw-materials/" TargetMode="External"/><Relationship Id="rId72" Type="http://schemas.openxmlformats.org/officeDocument/2006/relationships/hyperlink" Target="https://international-aluminium.org/wp-content/uploads/2023/09/Can-Study-factsheet-FINAL.pdf" TargetMode="External"/><Relationship Id="rId80" Type="http://schemas.openxmlformats.org/officeDocument/2006/relationships/hyperlink" Target="http://www.kora.or.kr/eng/main.do" TargetMode="External"/><Relationship Id="rId85" Type="http://schemas.openxmlformats.org/officeDocument/2006/relationships/hyperlink" Target="https://international-aluminium.org/wp-content/uploads/2023/09/Can-Study-factsheet-FINAL.pdf" TargetMode="External"/><Relationship Id="rId3" Type="http://schemas.openxmlformats.org/officeDocument/2006/relationships/hyperlink" Target="https://www.cmconsultinginc.com/wp-content/uploads/2021/02/WPW-2020-FINAL-JAN-30.pdf" TargetMode="External"/><Relationship Id="rId12" Type="http://schemas.openxmlformats.org/officeDocument/2006/relationships/hyperlink" Target="https://napcor.com/news/2023-pet-bottle-recycling-reach-new-heights/" TargetMode="External"/><Relationship Id="rId17" Type="http://schemas.openxmlformats.org/officeDocument/2006/relationships/hyperlink" Target="https://www.recyclingnetwork.ca/?AA=Download&amp;AT=106&amp;AD=6,Dlf1" TargetMode="External"/><Relationship Id="rId25" Type="http://schemas.openxmlformats.org/officeDocument/2006/relationships/hyperlink" Target="https://www.gacircular.com/_files/ugd/d424f7_d612161763824d3b9fbbf00affea9a9f.pdf" TargetMode="External"/><Relationship Id="rId33" Type="http://schemas.openxmlformats.org/officeDocument/2006/relationships/hyperlink" Target="https://cantocan.com.vn/recyclingratevn/images/vietnam-recycling-rate-and-cost-report-2022-by-eunomia-consultancy.pdf" TargetMode="External"/><Relationship Id="rId38" Type="http://schemas.openxmlformats.org/officeDocument/2006/relationships/hyperlink" Target="https://international-aluminium.org/resources/aluminium-beverage-can-study/" TargetMode="External"/><Relationship Id="rId46" Type="http://schemas.openxmlformats.org/officeDocument/2006/relationships/hyperlink" Target="https://www.indiaplasticspact.org/uploads/1703753076document.pdf" TargetMode="External"/><Relationship Id="rId59" Type="http://schemas.openxmlformats.org/officeDocument/2006/relationships/hyperlink" Target="https://www.sanmiguel.com.ph/sustainability/kalikasan/circular-economy/closing-the-loop/" TargetMode="External"/><Relationship Id="rId67" Type="http://schemas.openxmlformats.org/officeDocument/2006/relationships/hyperlink" Target="https://cantocan.com.vn/recyclingratevn/images/vietnam-recycling-rate-and-cost-report-2022-by-eunomia-consultancy.pdf" TargetMode="External"/><Relationship Id="rId20" Type="http://schemas.openxmlformats.org/officeDocument/2006/relationships/hyperlink" Target="https://eunomia.eco/reports/researching-a-deposit-return-system-for-south-africa/" TargetMode="External"/><Relationship Id="rId41" Type="http://schemas.openxmlformats.org/officeDocument/2006/relationships/hyperlink" Target="https://www.ball.com/getattachment/bc573eef-50d5-4bc2-bafc-78ce95af8a3a/TOWARDS-A-PERFECT-CIRCLE_2021-FULL-DOCUMENT-DOWNLOAD.pdf" TargetMode="External"/><Relationship Id="rId54" Type="http://schemas.openxmlformats.org/officeDocument/2006/relationships/hyperlink" Target="https://www.teriin.org/sites/default/files/2022-06/Sustainable%20Beverage%20Packaging%20Options%20in%20India%20-%20A%20Comparative%20Life%20Cycle%20Assessment%20Study_0.pdf" TargetMode="External"/><Relationship Id="rId62" Type="http://schemas.openxmlformats.org/officeDocument/2006/relationships/hyperlink" Target="https://www.petbottle-rec.gr.jp/nenji/2024/2024.pdf" TargetMode="External"/><Relationship Id="rId70" Type="http://schemas.openxmlformats.org/officeDocument/2006/relationships/hyperlink" Target="https://www.aluminium-journal.com/new-record-in-aluminium-beverage-can-recycling" TargetMode="External"/><Relationship Id="rId75" Type="http://schemas.openxmlformats.org/officeDocument/2006/relationships/hyperlink" Target="https://www.goodthingsguy.com/environment/facts-returnable-bottles/" TargetMode="External"/><Relationship Id="rId83" Type="http://schemas.openxmlformats.org/officeDocument/2006/relationships/hyperlink" Target="https://aluminium.org.au/wp-content/uploads/2023/10/231009-Aluminium-Cans-Market-Assessment-Australia.pdf" TargetMode="External"/><Relationship Id="rId88" Type="http://schemas.openxmlformats.org/officeDocument/2006/relationships/vmlDrawing" Target="../drawings/vmlDrawing1.vml"/><Relationship Id="rId1" Type="http://schemas.openxmlformats.org/officeDocument/2006/relationships/hyperlink" Target="https://www.recyclingnetwork.ca/?AA=Download&amp;AT=106&amp;AD=6,Dlf1" TargetMode="External"/><Relationship Id="rId6" Type="http://schemas.openxmlformats.org/officeDocument/2006/relationships/hyperlink" Target="https://www.swirecocacola.com/sbcorpweb/uploads/docs/SCC_SR2023_PriPP_EN.pdf" TargetMode="External"/><Relationship Id="rId15" Type="http://schemas.openxmlformats.org/officeDocument/2006/relationships/hyperlink" Target="https://www.fbranigeria.ng/fbra-q4-2023-newsletter/" TargetMode="External"/><Relationship Id="rId23" Type="http://schemas.openxmlformats.org/officeDocument/2006/relationships/hyperlink" Target="https://www.switch-asia.eu/site/assets/files/4388/plastic_policies_kz_final.pdf" TargetMode="External"/><Relationship Id="rId28" Type="http://schemas.openxmlformats.org/officeDocument/2006/relationships/hyperlink" Target="https://www.sea-circular.org/wp-content/uploads/2019/11/4-Puan-Nor-Ain-cleancopy_Plastic-Waste-Management-in-Malaysia.pdf" TargetMode="External"/><Relationship Id="rId36" Type="http://schemas.openxmlformats.org/officeDocument/2006/relationships/hyperlink" Target="https://www.reloopplatform.org/wp-content/uploads/2024/12/Reloop-Global-Deposit-Book-2024.pdf" TargetMode="External"/><Relationship Id="rId49" Type="http://schemas.openxmlformats.org/officeDocument/2006/relationships/hyperlink" Target="https://cms.fi.uba.ar/uploads/T_T_aidis_chile_envases_embalajes_presentacion_final_e2a157e2e3.pdf" TargetMode="External"/><Relationship Id="rId57" Type="http://schemas.openxmlformats.org/officeDocument/2006/relationships/hyperlink" Target="https://aluminium.org.au/wp-content/uploads/2023/10/231009-Aluminium-Cans-Market-Assessment-Australia.pdf" TargetMode="External"/><Relationship Id="rId10" Type="http://schemas.openxmlformats.org/officeDocument/2006/relationships/hyperlink" Target="https://anir.cl/Estudio2023/" TargetMode="External"/><Relationship Id="rId31" Type="http://schemas.openxmlformats.org/officeDocument/2006/relationships/hyperlink" Target="https://latitudr.org/wp-content/uploads/2020/10/LatitudR_Circularidad_envases_AL_resumen.pdf." TargetMode="External"/><Relationship Id="rId44" Type="http://schemas.openxmlformats.org/officeDocument/2006/relationships/hyperlink" Target="https://cantocan.com.vn/recyclingratevn/images/vietnam-recycling-rate-and-cost-report-2022-by-eunomia-consultancy.pdf" TargetMode="External"/><Relationship Id="rId52" Type="http://schemas.openxmlformats.org/officeDocument/2006/relationships/hyperlink" Target="https://www.glass-3r.jp/data/pdf/data_05a.pdf?20250530" TargetMode="External"/><Relationship Id="rId60" Type="http://schemas.openxmlformats.org/officeDocument/2006/relationships/hyperlink" Target="https://gridarendal-website-live.s3.amazonaws.com/production/documents/:s_document/1958/original/South_africa_brief.pdf?1747728630" TargetMode="External"/><Relationship Id="rId65" Type="http://schemas.openxmlformats.org/officeDocument/2006/relationships/hyperlink" Target="https://cantocan.com.vn/recyclingratevn/images/vietnam-recycling-rate-and-cost-report-2022-by-eunomia-consultancy.pdf" TargetMode="External"/><Relationship Id="rId73" Type="http://schemas.openxmlformats.org/officeDocument/2006/relationships/hyperlink" Target="https://www.aluminum.org/sites/default/files/2024-12/FINAL-2024_Aluminum-Can-KPI-Report.pdf" TargetMode="External"/><Relationship Id="rId78" Type="http://schemas.openxmlformats.org/officeDocument/2006/relationships/hyperlink" Target="https://www.teriin.org/sites/default/files/2022-06/Sustainable%20Beverage%20Packaging%20Options%20in%20India%20-%20A%20Comparative%20Life%20Cycle%20Assessment%20Study_0.pdf" TargetMode="External"/><Relationship Id="rId81" Type="http://schemas.openxmlformats.org/officeDocument/2006/relationships/hyperlink" Target="https://and.dz/site/wp-content/uploads/rapport%20DMA2.pdf" TargetMode="External"/><Relationship Id="rId86" Type="http://schemas.openxmlformats.org/officeDocument/2006/relationships/hyperlink" Target="https://www.ball.com/getattachment/bc573eef-50d5-4bc2-bafc-78ce95af8a3a/TOWARDS-A-PERFECT-CIRCLE_2021-FULL-DOCUMENT-DOWNLOAD.pdf" TargetMode="External"/><Relationship Id="rId4" Type="http://schemas.openxmlformats.org/officeDocument/2006/relationships/hyperlink" Target="https://www.reloopplatform.org/wp-content/uploads/2024/06/Global_Recycling_League_Table_Phase_1_Report.pdf" TargetMode="External"/><Relationship Id="rId9" Type="http://schemas.openxmlformats.org/officeDocument/2006/relationships/hyperlink" Target="https://anir.cl/Estudio2023/" TargetMode="External"/><Relationship Id="rId13" Type="http://schemas.openxmlformats.org/officeDocument/2006/relationships/hyperlink" Target="https://www.ecoce.mx/cifras_y_estadisticas" TargetMode="External"/><Relationship Id="rId18" Type="http://schemas.openxmlformats.org/officeDocument/2006/relationships/hyperlink" Target="https://eunomia.eco/reports/researching-a-deposit-return-system-for-south-africa/" TargetMode="External"/><Relationship Id="rId39" Type="http://schemas.openxmlformats.org/officeDocument/2006/relationships/hyperlink" Target="https://international-aluminium.org/resources/aluminium-beverage-can-study/" TargetMode="External"/><Relationship Id="rId34" Type="http://schemas.openxmlformats.org/officeDocument/2006/relationships/hyperlink" Target="https://cantocan.com.vn/recyclingratevn/images/vietnam-recycling-rate-and-cost-report-2022-by-eunomia-consultancy.pdf" TargetMode="External"/><Relationship Id="rId50" Type="http://schemas.openxmlformats.org/officeDocument/2006/relationships/hyperlink" Target="https://www.waste.ru/modules/section/item.php?itemid=547" TargetMode="External"/><Relationship Id="rId55" Type="http://schemas.openxmlformats.org/officeDocument/2006/relationships/hyperlink" Target="https://www.petbottle-rec.gr.jp/nenji/2024/2024.pdf" TargetMode="External"/><Relationship Id="rId76" Type="http://schemas.openxmlformats.org/officeDocument/2006/relationships/hyperlink" Target="https://documents.packagingcovenant.org.au/public-documents/APCO%20Australian%20Packaging%20Consumption%20and%20Recovery%20Data%202022-23" TargetMode="External"/><Relationship Id="rId7" Type="http://schemas.openxmlformats.org/officeDocument/2006/relationships/hyperlink" Target="https://www.swirecocacola.com/sbcorpweb/uploads/docs/SCC_SR2023_PriPP_EN.pdf" TargetMode="External"/><Relationship Id="rId71" Type="http://schemas.openxmlformats.org/officeDocument/2006/relationships/hyperlink" Target="http://www.kora.or.kr/eng/main.do" TargetMode="External"/><Relationship Id="rId2" Type="http://schemas.openxmlformats.org/officeDocument/2006/relationships/hyperlink" Target="https://www.cmconsultinginc.com/wp-content/uploads/2021/02/WPW-2020-FINAL-JAN-30.pdf" TargetMode="External"/><Relationship Id="rId29" Type="http://schemas.openxmlformats.org/officeDocument/2006/relationships/hyperlink" Target="https://latitudr.org/wp-content/uploads/2020/10/LatitudR_Circularidad_envases_AL_resumen.pdf." TargetMode="External"/><Relationship Id="rId24" Type="http://schemas.openxmlformats.org/officeDocument/2006/relationships/hyperlink" Target="https://www.gacircular.com/_files/ugd/d424f7_d612161763824d3b9fbbf00affea9a9f.pdf" TargetMode="External"/><Relationship Id="rId40" Type="http://schemas.openxmlformats.org/officeDocument/2006/relationships/hyperlink" Target="https://international-aluminium.org/resources/aluminium-beverage-can-study/" TargetMode="External"/><Relationship Id="rId45" Type="http://schemas.openxmlformats.org/officeDocument/2006/relationships/hyperlink" Target="https://www.ball.com/getattachment/bc573eef-50d5-4bc2-bafc-78ce95af8a3a/TOWARDS-A-PERFECT-CIRCLE_2021-FULL-DOCUMENT-DOWNLOAD.pdf" TargetMode="External"/><Relationship Id="rId66" Type="http://schemas.openxmlformats.org/officeDocument/2006/relationships/hyperlink" Target="https://cantocan.com.vn/recyclingratevn/images/vietnam-recycling-rate-and-cost-report-2022-by-eunomia-consultancy.pdf" TargetMode="External"/><Relationship Id="rId87" Type="http://schemas.openxmlformats.org/officeDocument/2006/relationships/hyperlink" Target="https://www.container-recycling.org/images/2024/Fast%20Facts.pdf" TargetMode="External"/><Relationship Id="rId61" Type="http://schemas.openxmlformats.org/officeDocument/2006/relationships/hyperlink" Target="https://sistemas.minam.gob.pe/SigersolMunicipal/" TargetMode="External"/><Relationship Id="rId82" Type="http://schemas.openxmlformats.org/officeDocument/2006/relationships/hyperlink" Target="https://www.wasterecyclingmea.com/news/business-leader/a-look-at-random-global-s-glass-recycling-operations" TargetMode="External"/><Relationship Id="rId19" Type="http://schemas.openxmlformats.org/officeDocument/2006/relationships/hyperlink" Target="https://eunomia.eco/reports/researching-a-deposit-return-system-for-south-afr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9E634-C94B-46B5-B108-9036963C83B6}">
  <sheetPr>
    <tabColor theme="0"/>
  </sheetPr>
  <dimension ref="A8:H22"/>
  <sheetViews>
    <sheetView topLeftCell="A4" workbookViewId="0">
      <selection activeCell="A22" sqref="A22:XFD22"/>
    </sheetView>
  </sheetViews>
  <sheetFormatPr baseColWidth="10" defaultColWidth="0" defaultRowHeight="12.5" x14ac:dyDescent="0.25"/>
  <cols>
    <col min="1" max="1" width="17.1796875" customWidth="1"/>
    <col min="2" max="2" width="29.453125" customWidth="1"/>
    <col min="3" max="8" width="17.1796875" customWidth="1"/>
    <col min="9" max="16384" width="9.1796875" hidden="1"/>
  </cols>
  <sheetData>
    <row r="8" spans="2:7" ht="30.5" x14ac:dyDescent="0.25">
      <c r="C8" s="76"/>
      <c r="D8" s="76"/>
      <c r="E8" s="76"/>
      <c r="F8" s="76"/>
      <c r="G8" s="76"/>
    </row>
    <row r="9" spans="2:7" ht="30.5" x14ac:dyDescent="0.25">
      <c r="B9" s="76" t="s">
        <v>0</v>
      </c>
      <c r="C9" s="76"/>
      <c r="D9" s="76"/>
      <c r="E9" s="76"/>
      <c r="F9" s="76"/>
      <c r="G9" s="76"/>
    </row>
    <row r="10" spans="2:7" ht="30.5" x14ac:dyDescent="0.25">
      <c r="B10" s="76"/>
      <c r="C10" s="76"/>
      <c r="D10" s="76"/>
      <c r="E10" s="76"/>
      <c r="F10" s="76"/>
      <c r="G10" s="76"/>
    </row>
    <row r="11" spans="2:7" ht="61" x14ac:dyDescent="0.25">
      <c r="B11" s="77" t="s">
        <v>816</v>
      </c>
      <c r="C11" s="76"/>
      <c r="D11" s="77"/>
      <c r="E11" s="76"/>
      <c r="F11" s="76"/>
      <c r="G11" s="76"/>
    </row>
    <row r="12" spans="2:7" ht="31" thickBot="1" x14ac:dyDescent="0.3">
      <c r="B12" s="4" t="s">
        <v>1</v>
      </c>
      <c r="C12" s="76"/>
      <c r="D12" s="76"/>
      <c r="E12" s="76"/>
      <c r="F12" s="76"/>
      <c r="G12" s="76"/>
    </row>
    <row r="13" spans="2:7" ht="31" thickTop="1" x14ac:dyDescent="0.25">
      <c r="B13" s="76"/>
      <c r="C13" s="76"/>
      <c r="D13" s="76"/>
      <c r="E13" s="76"/>
      <c r="F13" s="76"/>
      <c r="G13" s="76"/>
    </row>
    <row r="14" spans="2:7" ht="100" x14ac:dyDescent="0.25">
      <c r="B14" s="75" t="s">
        <v>2</v>
      </c>
      <c r="C14" s="75"/>
      <c r="D14" s="75"/>
      <c r="E14" s="75"/>
      <c r="F14" s="75"/>
      <c r="G14" s="75"/>
    </row>
    <row r="16" spans="2:7" ht="15.5" thickBot="1" x14ac:dyDescent="0.3">
      <c r="B16" s="4" t="s">
        <v>3</v>
      </c>
    </row>
    <row r="17" spans="2:7" ht="13" thickTop="1" x14ac:dyDescent="0.25"/>
    <row r="18" spans="2:7" x14ac:dyDescent="0.25">
      <c r="B18" s="1" t="s">
        <v>4</v>
      </c>
      <c r="C18" s="74" t="s">
        <v>5</v>
      </c>
      <c r="D18" s="74"/>
      <c r="E18" s="74"/>
      <c r="F18" s="74"/>
      <c r="G18" s="74"/>
    </row>
    <row r="19" spans="2:7" ht="75.75" customHeight="1" x14ac:dyDescent="0.25">
      <c r="B19" s="17" t="s">
        <v>6</v>
      </c>
      <c r="C19" s="136" t="s">
        <v>7</v>
      </c>
      <c r="D19" s="134"/>
      <c r="E19" s="134"/>
      <c r="F19" s="134"/>
      <c r="G19" s="135"/>
    </row>
    <row r="20" spans="2:7" ht="75.75" customHeight="1" x14ac:dyDescent="0.25">
      <c r="B20" s="17" t="s">
        <v>8</v>
      </c>
      <c r="C20" s="136" t="s">
        <v>9</v>
      </c>
      <c r="D20" s="134"/>
      <c r="E20" s="134"/>
      <c r="F20" s="134"/>
      <c r="G20" s="135"/>
    </row>
    <row r="21" spans="2:7" ht="75.75" customHeight="1" x14ac:dyDescent="0.25">
      <c r="B21" s="17" t="s">
        <v>10</v>
      </c>
      <c r="C21" s="136" t="s">
        <v>11</v>
      </c>
      <c r="D21" s="134"/>
      <c r="E21" s="134"/>
      <c r="F21" s="134"/>
      <c r="G21" s="135"/>
    </row>
    <row r="22" spans="2:7" ht="12.75" customHeight="1" x14ac:dyDescent="0.25"/>
  </sheetData>
  <mergeCells count="3">
    <mergeCell ref="C19:G19"/>
    <mergeCell ref="C20:G20"/>
    <mergeCell ref="C21:G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1D66-E8D0-4C77-95D3-70442B314C1E}">
  <dimension ref="A1:D604"/>
  <sheetViews>
    <sheetView topLeftCell="A67" workbookViewId="0"/>
  </sheetViews>
  <sheetFormatPr baseColWidth="10" defaultColWidth="9.1796875" defaultRowHeight="13.5" x14ac:dyDescent="0.25"/>
  <cols>
    <col min="1" max="1" width="18.1796875" style="65" customWidth="1"/>
    <col min="2" max="2" width="9.81640625" style="65" bestFit="1" customWidth="1"/>
    <col min="3" max="3" width="26.453125" style="65" bestFit="1" customWidth="1"/>
    <col min="4" max="16384" width="9.1796875" style="65"/>
  </cols>
  <sheetData>
    <row r="1" spans="1:4" x14ac:dyDescent="0.25">
      <c r="A1" s="65" t="s">
        <v>51</v>
      </c>
      <c r="B1" s="65" t="s">
        <v>50</v>
      </c>
      <c r="C1" s="66" t="s">
        <v>635</v>
      </c>
    </row>
    <row r="2" spans="1:4" x14ac:dyDescent="0.25">
      <c r="A2" s="65" t="s">
        <v>45</v>
      </c>
      <c r="B2" s="65" t="s">
        <v>10</v>
      </c>
      <c r="C2" s="66">
        <v>3536993</v>
      </c>
      <c r="D2" s="65" t="str">
        <f>A2&amp;B2</f>
        <v>ChinaPET</v>
      </c>
    </row>
    <row r="3" spans="1:4" x14ac:dyDescent="0.25">
      <c r="A3" s="67" t="s">
        <v>346</v>
      </c>
      <c r="B3" s="65" t="s">
        <v>10</v>
      </c>
      <c r="C3" s="66">
        <v>2933423.68</v>
      </c>
      <c r="D3" s="65" t="str">
        <f t="shared" ref="D3:D66" si="0">A3&amp;B3</f>
        <v>United StatesPET</v>
      </c>
    </row>
    <row r="4" spans="1:4" x14ac:dyDescent="0.25">
      <c r="A4" s="65" t="s">
        <v>144</v>
      </c>
      <c r="B4" s="65" t="s">
        <v>10</v>
      </c>
      <c r="C4" s="66">
        <v>938668.92</v>
      </c>
      <c r="D4" s="65" t="str">
        <f t="shared" si="0"/>
        <v>IndiaPET</v>
      </c>
    </row>
    <row r="5" spans="1:4" x14ac:dyDescent="0.25">
      <c r="A5" s="65" t="s">
        <v>242</v>
      </c>
      <c r="B5" s="65" t="s">
        <v>10</v>
      </c>
      <c r="C5" s="66">
        <v>724035.27</v>
      </c>
      <c r="D5" s="65" t="str">
        <f t="shared" si="0"/>
        <v>MexicoPET</v>
      </c>
    </row>
    <row r="6" spans="1:4" x14ac:dyDescent="0.25">
      <c r="A6" s="67" t="s">
        <v>65</v>
      </c>
      <c r="B6" s="65" t="s">
        <v>10</v>
      </c>
      <c r="C6" s="66">
        <v>603605.43999999994</v>
      </c>
      <c r="D6" s="65" t="str">
        <f t="shared" si="0"/>
        <v>JapanPET</v>
      </c>
    </row>
    <row r="7" spans="1:4" x14ac:dyDescent="0.25">
      <c r="A7" s="67" t="s">
        <v>112</v>
      </c>
      <c r="B7" s="68" t="s">
        <v>10</v>
      </c>
      <c r="C7" s="66">
        <v>525533.91</v>
      </c>
      <c r="D7" s="65" t="str">
        <f t="shared" si="0"/>
        <v>GermanyPET</v>
      </c>
    </row>
    <row r="8" spans="1:4" x14ac:dyDescent="0.25">
      <c r="A8" s="67" t="s">
        <v>60</v>
      </c>
      <c r="B8" s="65" t="s">
        <v>10</v>
      </c>
      <c r="C8" s="66">
        <v>440346.1</v>
      </c>
      <c r="D8" s="65" t="str">
        <f t="shared" si="0"/>
        <v>BrazilPET</v>
      </c>
    </row>
    <row r="9" spans="1:4" x14ac:dyDescent="0.25">
      <c r="A9" s="67" t="s">
        <v>218</v>
      </c>
      <c r="B9" s="65" t="s">
        <v>10</v>
      </c>
      <c r="C9" s="66">
        <v>412289.21</v>
      </c>
      <c r="D9" s="65" t="str">
        <f t="shared" si="0"/>
        <v>ItalyPET</v>
      </c>
    </row>
    <row r="10" spans="1:4" x14ac:dyDescent="0.25">
      <c r="A10" s="65" t="s">
        <v>327</v>
      </c>
      <c r="B10" s="65" t="s">
        <v>10</v>
      </c>
      <c r="C10" s="66">
        <v>368724.39</v>
      </c>
      <c r="D10" s="65" t="str">
        <f t="shared" si="0"/>
        <v>RussiaPET</v>
      </c>
    </row>
    <row r="11" spans="1:4" x14ac:dyDescent="0.25">
      <c r="A11" s="67" t="s">
        <v>113</v>
      </c>
      <c r="B11" s="65" t="s">
        <v>10</v>
      </c>
      <c r="C11" s="66">
        <v>344223.95</v>
      </c>
      <c r="D11" s="65" t="str">
        <f t="shared" si="0"/>
        <v>FrancePET</v>
      </c>
    </row>
    <row r="12" spans="1:4" x14ac:dyDescent="0.25">
      <c r="A12" s="65" t="s">
        <v>339</v>
      </c>
      <c r="B12" s="65" t="s">
        <v>10</v>
      </c>
      <c r="C12" s="66">
        <v>295856.95</v>
      </c>
      <c r="D12" s="65" t="str">
        <f t="shared" si="0"/>
        <v>ThailandPET</v>
      </c>
    </row>
    <row r="13" spans="1:4" x14ac:dyDescent="0.25">
      <c r="A13" s="65" t="s">
        <v>307</v>
      </c>
      <c r="B13" s="65" t="s">
        <v>10</v>
      </c>
      <c r="C13" s="66">
        <v>277535.43</v>
      </c>
      <c r="D13" s="65" t="str">
        <f t="shared" si="0"/>
        <v>IndonesiaPET</v>
      </c>
    </row>
    <row r="14" spans="1:4" x14ac:dyDescent="0.25">
      <c r="A14" s="67" t="s">
        <v>233</v>
      </c>
      <c r="B14" s="65" t="s">
        <v>10</v>
      </c>
      <c r="C14" s="66">
        <v>228846.84</v>
      </c>
      <c r="D14" s="65" t="str">
        <f t="shared" si="0"/>
        <v>United KingdomPET</v>
      </c>
    </row>
    <row r="15" spans="1:4" x14ac:dyDescent="0.25">
      <c r="A15" s="67" t="s">
        <v>229</v>
      </c>
      <c r="B15" s="65" t="s">
        <v>10</v>
      </c>
      <c r="C15" s="66">
        <v>218204.39</v>
      </c>
      <c r="D15" s="65" t="str">
        <f t="shared" si="0"/>
        <v>SpainPET</v>
      </c>
    </row>
    <row r="16" spans="1:4" x14ac:dyDescent="0.25">
      <c r="A16" s="65" t="s">
        <v>341</v>
      </c>
      <c r="B16" s="65" t="s">
        <v>10</v>
      </c>
      <c r="C16" s="66">
        <v>213371.39</v>
      </c>
      <c r="D16" s="65" t="str">
        <f t="shared" si="0"/>
        <v>TurkiyePET</v>
      </c>
    </row>
    <row r="17" spans="1:4" x14ac:dyDescent="0.25">
      <c r="A17" s="67" t="s">
        <v>224</v>
      </c>
      <c r="B17" s="65" t="s">
        <v>10</v>
      </c>
      <c r="C17" s="66">
        <v>211754.38</v>
      </c>
      <c r="D17" s="65" t="str">
        <f t="shared" si="0"/>
        <v>PolandPET</v>
      </c>
    </row>
    <row r="18" spans="1:4" x14ac:dyDescent="0.25">
      <c r="A18" s="65" t="s">
        <v>324</v>
      </c>
      <c r="B18" s="65" t="s">
        <v>10</v>
      </c>
      <c r="C18" s="66">
        <v>207097.65</v>
      </c>
      <c r="D18" s="65" t="str">
        <f t="shared" si="0"/>
        <v>NigeriaPET</v>
      </c>
    </row>
    <row r="19" spans="1:4" x14ac:dyDescent="0.25">
      <c r="A19" s="65" t="s">
        <v>286</v>
      </c>
      <c r="B19" s="65" t="s">
        <v>10</v>
      </c>
      <c r="C19" s="66">
        <v>197379.56</v>
      </c>
      <c r="D19" s="65" t="str">
        <f t="shared" si="0"/>
        <v>ArgentinaPET</v>
      </c>
    </row>
    <row r="20" spans="1:4" x14ac:dyDescent="0.25">
      <c r="A20" s="65" t="s">
        <v>137</v>
      </c>
      <c r="B20" s="65" t="s">
        <v>10</v>
      </c>
      <c r="C20" s="66">
        <v>179055.46</v>
      </c>
      <c r="D20" s="65" t="str">
        <f t="shared" si="0"/>
        <v>CanadaPET</v>
      </c>
    </row>
    <row r="21" spans="1:4" x14ac:dyDescent="0.25">
      <c r="A21" s="65" t="s">
        <v>311</v>
      </c>
      <c r="B21" s="65" t="s">
        <v>10</v>
      </c>
      <c r="C21" s="66">
        <v>178539.85</v>
      </c>
      <c r="D21" s="65" t="str">
        <f t="shared" si="0"/>
        <v>IraqPET</v>
      </c>
    </row>
    <row r="22" spans="1:4" x14ac:dyDescent="0.25">
      <c r="A22" s="65" t="s">
        <v>329</v>
      </c>
      <c r="B22" s="65" t="s">
        <v>10</v>
      </c>
      <c r="C22" s="66">
        <v>164266.60999999999</v>
      </c>
      <c r="D22" s="65" t="str">
        <f t="shared" si="0"/>
        <v>Saudi ArabiaPET</v>
      </c>
    </row>
    <row r="23" spans="1:4" x14ac:dyDescent="0.25">
      <c r="A23" s="65" t="s">
        <v>154</v>
      </c>
      <c r="B23" s="65" t="s">
        <v>10</v>
      </c>
      <c r="C23" s="66">
        <v>157531.5</v>
      </c>
      <c r="D23" s="65" t="str">
        <f t="shared" si="0"/>
        <v>PakistanPET</v>
      </c>
    </row>
    <row r="24" spans="1:4" x14ac:dyDescent="0.25">
      <c r="A24" s="65" t="s">
        <v>334</v>
      </c>
      <c r="B24" s="65" t="s">
        <v>10</v>
      </c>
      <c r="C24" s="66">
        <v>154603.1</v>
      </c>
      <c r="D24" s="65" t="str">
        <f t="shared" si="0"/>
        <v>South KoreaPET</v>
      </c>
    </row>
    <row r="25" spans="1:4" x14ac:dyDescent="0.25">
      <c r="A25" s="65" t="s">
        <v>279</v>
      </c>
      <c r="B25" s="65" t="s">
        <v>10</v>
      </c>
      <c r="C25" s="66">
        <v>143332.07999999999</v>
      </c>
      <c r="D25" s="65" t="str">
        <f t="shared" si="0"/>
        <v>AlgeriaPET</v>
      </c>
    </row>
    <row r="26" spans="1:4" x14ac:dyDescent="0.25">
      <c r="A26" s="65" t="s">
        <v>326</v>
      </c>
      <c r="B26" s="65" t="s">
        <v>10</v>
      </c>
      <c r="C26" s="66">
        <v>140739.47</v>
      </c>
      <c r="D26" s="65" t="str">
        <f t="shared" si="0"/>
        <v>PhilippinesPET</v>
      </c>
    </row>
    <row r="27" spans="1:4" x14ac:dyDescent="0.25">
      <c r="A27" s="65" t="s">
        <v>348</v>
      </c>
      <c r="B27" s="65" t="s">
        <v>10</v>
      </c>
      <c r="C27" s="66">
        <v>135262.96</v>
      </c>
      <c r="D27" s="65" t="str">
        <f t="shared" si="0"/>
        <v>VietnamPET</v>
      </c>
    </row>
    <row r="28" spans="1:4" x14ac:dyDescent="0.25">
      <c r="A28" s="65" t="s">
        <v>72</v>
      </c>
      <c r="B28" s="65" t="s">
        <v>10</v>
      </c>
      <c r="C28" s="66">
        <v>126504.39</v>
      </c>
      <c r="D28" s="65" t="str">
        <f t="shared" si="0"/>
        <v>South AfricaPET</v>
      </c>
    </row>
    <row r="29" spans="1:4" x14ac:dyDescent="0.25">
      <c r="A29" s="65" t="s">
        <v>300</v>
      </c>
      <c r="B29" s="65" t="s">
        <v>10</v>
      </c>
      <c r="C29" s="66">
        <v>119212.02</v>
      </c>
      <c r="D29" s="65" t="str">
        <f t="shared" si="0"/>
        <v>ColombiaPET</v>
      </c>
    </row>
    <row r="30" spans="1:4" x14ac:dyDescent="0.25">
      <c r="A30" s="67" t="s">
        <v>226</v>
      </c>
      <c r="B30" s="65" t="s">
        <v>10</v>
      </c>
      <c r="C30" s="66">
        <v>114429.35</v>
      </c>
      <c r="D30" s="65" t="str">
        <f t="shared" si="0"/>
        <v>RomaniaPET</v>
      </c>
    </row>
    <row r="31" spans="1:4" x14ac:dyDescent="0.25">
      <c r="A31" s="65" t="s">
        <v>308</v>
      </c>
      <c r="B31" s="65" t="s">
        <v>10</v>
      </c>
      <c r="C31" s="66">
        <v>104024.81</v>
      </c>
      <c r="D31" s="65" t="str">
        <f t="shared" si="0"/>
        <v>IranPET</v>
      </c>
    </row>
    <row r="32" spans="1:4" x14ac:dyDescent="0.25">
      <c r="A32" s="65" t="s">
        <v>301</v>
      </c>
      <c r="B32" s="65" t="s">
        <v>10</v>
      </c>
      <c r="C32" s="66">
        <v>101192.76</v>
      </c>
      <c r="D32" s="65" t="str">
        <f t="shared" si="0"/>
        <v>EgyptPET</v>
      </c>
    </row>
    <row r="33" spans="1:4" x14ac:dyDescent="0.25">
      <c r="A33" s="65" t="s">
        <v>325</v>
      </c>
      <c r="B33" s="65" t="s">
        <v>10</v>
      </c>
      <c r="C33" s="66">
        <v>84707.47</v>
      </c>
      <c r="D33" s="65" t="str">
        <f t="shared" si="0"/>
        <v>PeruPET</v>
      </c>
    </row>
    <row r="34" spans="1:4" x14ac:dyDescent="0.25">
      <c r="A34" s="65" t="s">
        <v>337</v>
      </c>
      <c r="B34" s="65" t="s">
        <v>10</v>
      </c>
      <c r="C34" s="66">
        <v>84517.15</v>
      </c>
      <c r="D34" s="65" t="str">
        <f t="shared" si="0"/>
        <v>TaiwanPET</v>
      </c>
    </row>
    <row r="35" spans="1:4" x14ac:dyDescent="0.25">
      <c r="A35" s="65" t="s">
        <v>318</v>
      </c>
      <c r="B35" s="65" t="s">
        <v>10</v>
      </c>
      <c r="C35" s="66">
        <v>76966.34</v>
      </c>
      <c r="D35" s="65" t="str">
        <f t="shared" si="0"/>
        <v>KazakhstanPET</v>
      </c>
    </row>
    <row r="36" spans="1:4" x14ac:dyDescent="0.25">
      <c r="A36" s="65" t="s">
        <v>636</v>
      </c>
      <c r="B36" s="65" t="s">
        <v>10</v>
      </c>
      <c r="C36" s="66">
        <v>76027.960000000006</v>
      </c>
      <c r="D36" s="65" t="str">
        <f t="shared" si="0"/>
        <v>UkrainePET</v>
      </c>
    </row>
    <row r="37" spans="1:4" x14ac:dyDescent="0.25">
      <c r="A37" s="65" t="s">
        <v>161</v>
      </c>
      <c r="B37" s="65" t="s">
        <v>10</v>
      </c>
      <c r="C37" s="66">
        <v>75798.53</v>
      </c>
      <c r="D37" s="65" t="str">
        <f t="shared" si="0"/>
        <v>AustraliaPET</v>
      </c>
    </row>
    <row r="38" spans="1:4" x14ac:dyDescent="0.25">
      <c r="A38" s="65" t="s">
        <v>637</v>
      </c>
      <c r="B38" s="65" t="s">
        <v>10</v>
      </c>
      <c r="C38" s="66">
        <v>73953.320000000007</v>
      </c>
      <c r="D38" s="65" t="str">
        <f t="shared" si="0"/>
        <v>UzbekistanPET</v>
      </c>
    </row>
    <row r="39" spans="1:4" x14ac:dyDescent="0.25">
      <c r="A39" s="65" t="s">
        <v>638</v>
      </c>
      <c r="B39" s="65" t="s">
        <v>10</v>
      </c>
      <c r="C39" s="66">
        <v>72673.91</v>
      </c>
      <c r="D39" s="65" t="str">
        <f t="shared" si="0"/>
        <v>BangladeshPET</v>
      </c>
    </row>
    <row r="40" spans="1:4" x14ac:dyDescent="0.25">
      <c r="A40" s="67" t="s">
        <v>216</v>
      </c>
      <c r="B40" s="65" t="s">
        <v>10</v>
      </c>
      <c r="C40" s="66">
        <v>70729.509999999995</v>
      </c>
      <c r="D40" s="65" t="str">
        <f t="shared" si="0"/>
        <v>HungaryPET</v>
      </c>
    </row>
    <row r="41" spans="1:4" x14ac:dyDescent="0.25">
      <c r="A41" s="67" t="s">
        <v>207</v>
      </c>
      <c r="B41" s="65" t="s">
        <v>10</v>
      </c>
      <c r="C41" s="66">
        <v>66209.3</v>
      </c>
      <c r="D41" s="65" t="str">
        <f t="shared" si="0"/>
        <v>BelgiumPET</v>
      </c>
    </row>
    <row r="42" spans="1:4" x14ac:dyDescent="0.25">
      <c r="A42" s="65" t="s">
        <v>141</v>
      </c>
      <c r="B42" s="65" t="s">
        <v>10</v>
      </c>
      <c r="C42" s="66">
        <v>65910.720000000001</v>
      </c>
      <c r="D42" s="65" t="str">
        <f t="shared" si="0"/>
        <v>ChilePET</v>
      </c>
    </row>
    <row r="43" spans="1:4" x14ac:dyDescent="0.25">
      <c r="A43" s="65" t="s">
        <v>345</v>
      </c>
      <c r="B43" s="65" t="s">
        <v>10</v>
      </c>
      <c r="C43" s="66">
        <v>61899.22</v>
      </c>
      <c r="D43" s="65" t="str">
        <f t="shared" si="0"/>
        <v>United Arab EmiratesPET</v>
      </c>
    </row>
    <row r="44" spans="1:4" x14ac:dyDescent="0.25">
      <c r="A44" s="65" t="s">
        <v>639</v>
      </c>
      <c r="B44" s="65" t="s">
        <v>10</v>
      </c>
      <c r="C44" s="66">
        <v>61230.48</v>
      </c>
      <c r="D44" s="65" t="str">
        <f t="shared" si="0"/>
        <v>TunisiaPET</v>
      </c>
    </row>
    <row r="45" spans="1:4" x14ac:dyDescent="0.25">
      <c r="A45" s="67" t="s">
        <v>215</v>
      </c>
      <c r="B45" s="65" t="s">
        <v>10</v>
      </c>
      <c r="C45" s="66">
        <v>58701.77</v>
      </c>
      <c r="D45" s="65" t="str">
        <f t="shared" si="0"/>
        <v>GreecePET</v>
      </c>
    </row>
    <row r="46" spans="1:4" x14ac:dyDescent="0.25">
      <c r="A46" s="65" t="s">
        <v>640</v>
      </c>
      <c r="B46" s="65" t="s">
        <v>10</v>
      </c>
      <c r="C46" s="66">
        <v>56972.79</v>
      </c>
      <c r="D46" s="65" t="str">
        <f t="shared" si="0"/>
        <v>GhanaPET</v>
      </c>
    </row>
    <row r="47" spans="1:4" x14ac:dyDescent="0.25">
      <c r="A47" s="65" t="s">
        <v>641</v>
      </c>
      <c r="B47" s="65" t="s">
        <v>10</v>
      </c>
      <c r="C47" s="66">
        <v>55228.4</v>
      </c>
      <c r="D47" s="65" t="str">
        <f t="shared" si="0"/>
        <v>Yemen, Rep.PET</v>
      </c>
    </row>
    <row r="48" spans="1:4" x14ac:dyDescent="0.25">
      <c r="A48" s="65" t="s">
        <v>642</v>
      </c>
      <c r="B48" s="65" t="s">
        <v>10</v>
      </c>
      <c r="C48" s="66">
        <v>53811.48</v>
      </c>
      <c r="D48" s="65" t="str">
        <f t="shared" si="0"/>
        <v>MoroccoPET</v>
      </c>
    </row>
    <row r="49" spans="1:4" x14ac:dyDescent="0.25">
      <c r="A49" s="65" t="s">
        <v>643</v>
      </c>
      <c r="B49" s="65" t="s">
        <v>10</v>
      </c>
      <c r="C49" s="66">
        <v>51757.8</v>
      </c>
      <c r="D49" s="65" t="str">
        <f t="shared" si="0"/>
        <v>EcuadorPET</v>
      </c>
    </row>
    <row r="50" spans="1:4" x14ac:dyDescent="0.25">
      <c r="A50" s="67" t="s">
        <v>211</v>
      </c>
      <c r="B50" s="65" t="s">
        <v>10</v>
      </c>
      <c r="C50" s="66">
        <v>50474.65</v>
      </c>
      <c r="D50" s="65" t="str">
        <f t="shared" si="0"/>
        <v>Czech RepublicPET</v>
      </c>
    </row>
    <row r="51" spans="1:4" x14ac:dyDescent="0.25">
      <c r="A51" s="67" t="s">
        <v>225</v>
      </c>
      <c r="B51" s="65" t="s">
        <v>10</v>
      </c>
      <c r="C51" s="66">
        <v>46702.51</v>
      </c>
      <c r="D51" s="65" t="str">
        <f t="shared" si="0"/>
        <v>PortugalPET</v>
      </c>
    </row>
    <row r="52" spans="1:4" x14ac:dyDescent="0.25">
      <c r="A52" s="67" t="s">
        <v>232</v>
      </c>
      <c r="B52" s="65" t="s">
        <v>10</v>
      </c>
      <c r="C52" s="66">
        <v>45583.97</v>
      </c>
      <c r="D52" s="65" t="str">
        <f t="shared" si="0"/>
        <v>SwitzerlandPET</v>
      </c>
    </row>
    <row r="53" spans="1:4" x14ac:dyDescent="0.25">
      <c r="A53" s="67" t="s">
        <v>223</v>
      </c>
      <c r="B53" s="65" t="s">
        <v>10</v>
      </c>
      <c r="C53" s="66">
        <v>44684.87</v>
      </c>
      <c r="D53" s="65" t="str">
        <f t="shared" si="0"/>
        <v>NetherlandsPET</v>
      </c>
    </row>
    <row r="54" spans="1:4" x14ac:dyDescent="0.25">
      <c r="A54" s="65" t="s">
        <v>321</v>
      </c>
      <c r="B54" s="65" t="s">
        <v>10</v>
      </c>
      <c r="C54" s="66">
        <v>43792.54</v>
      </c>
      <c r="D54" s="65" t="str">
        <f t="shared" si="0"/>
        <v>MalaysiaPET</v>
      </c>
    </row>
    <row r="55" spans="1:4" x14ac:dyDescent="0.25">
      <c r="A55" s="65" t="s">
        <v>644</v>
      </c>
      <c r="B55" s="65" t="s">
        <v>10</v>
      </c>
      <c r="C55" s="66">
        <v>42716.18</v>
      </c>
      <c r="D55" s="65" t="str">
        <f t="shared" si="0"/>
        <v>NepalPET</v>
      </c>
    </row>
    <row r="56" spans="1:4" x14ac:dyDescent="0.25">
      <c r="A56" s="65" t="s">
        <v>645</v>
      </c>
      <c r="B56" s="65" t="s">
        <v>10</v>
      </c>
      <c r="C56" s="66">
        <v>42606.29</v>
      </c>
      <c r="D56" s="65" t="str">
        <f t="shared" si="0"/>
        <v>GuatemalaPET</v>
      </c>
    </row>
    <row r="57" spans="1:4" x14ac:dyDescent="0.25">
      <c r="A57" s="67" t="s">
        <v>208</v>
      </c>
      <c r="B57" s="65" t="s">
        <v>10</v>
      </c>
      <c r="C57" s="66">
        <v>40605.25</v>
      </c>
      <c r="D57" s="65" t="str">
        <f t="shared" si="0"/>
        <v>BulgariaPET</v>
      </c>
    </row>
    <row r="58" spans="1:4" x14ac:dyDescent="0.25">
      <c r="A58" s="67" t="s">
        <v>206</v>
      </c>
      <c r="B58" s="65" t="s">
        <v>10</v>
      </c>
      <c r="C58" s="66">
        <v>39585.19</v>
      </c>
      <c r="D58" s="65" t="str">
        <f t="shared" si="0"/>
        <v>AustriaPET</v>
      </c>
    </row>
    <row r="59" spans="1:4" x14ac:dyDescent="0.25">
      <c r="A59" s="65" t="s">
        <v>313</v>
      </c>
      <c r="B59" s="65" t="s">
        <v>10</v>
      </c>
      <c r="C59" s="66">
        <v>35632.559999999998</v>
      </c>
      <c r="D59" s="65" t="str">
        <f t="shared" si="0"/>
        <v>IsraelPET</v>
      </c>
    </row>
    <row r="60" spans="1:4" x14ac:dyDescent="0.25">
      <c r="A60" s="65" t="s">
        <v>646</v>
      </c>
      <c r="B60" s="65" t="s">
        <v>10</v>
      </c>
      <c r="C60" s="66">
        <v>35391.120000000003</v>
      </c>
      <c r="D60" s="65" t="str">
        <f t="shared" si="0"/>
        <v>SerbiaPET</v>
      </c>
    </row>
    <row r="61" spans="1:4" x14ac:dyDescent="0.25">
      <c r="A61" s="65" t="s">
        <v>647</v>
      </c>
      <c r="B61" s="65" t="s">
        <v>10</v>
      </c>
      <c r="C61" s="66">
        <v>34810.31</v>
      </c>
      <c r="D61" s="65" t="str">
        <f t="shared" si="0"/>
        <v>Dominican RepublicPET</v>
      </c>
    </row>
    <row r="62" spans="1:4" x14ac:dyDescent="0.25">
      <c r="A62" s="65" t="s">
        <v>648</v>
      </c>
      <c r="B62" s="65" t="s">
        <v>10</v>
      </c>
      <c r="C62" s="66">
        <v>31824.22</v>
      </c>
      <c r="D62" s="65" t="str">
        <f t="shared" si="0"/>
        <v>BoliviaPET</v>
      </c>
    </row>
    <row r="63" spans="1:4" x14ac:dyDescent="0.25">
      <c r="A63" s="65" t="s">
        <v>649</v>
      </c>
      <c r="B63" s="65" t="s">
        <v>10</v>
      </c>
      <c r="C63" s="66">
        <v>29626.95</v>
      </c>
      <c r="D63" s="65" t="str">
        <f t="shared" si="0"/>
        <v>HondurasPET</v>
      </c>
    </row>
    <row r="64" spans="1:4" x14ac:dyDescent="0.25">
      <c r="A64" s="65" t="s">
        <v>650</v>
      </c>
      <c r="B64" s="65" t="s">
        <v>10</v>
      </c>
      <c r="C64" s="66">
        <v>27755.119999999999</v>
      </c>
      <c r="D64" s="65" t="str">
        <f t="shared" si="0"/>
        <v>BelarusPET</v>
      </c>
    </row>
    <row r="65" spans="1:4" x14ac:dyDescent="0.25">
      <c r="A65" s="65" t="s">
        <v>651</v>
      </c>
      <c r="B65" s="65" t="s">
        <v>10</v>
      </c>
      <c r="C65" s="66">
        <v>27655.19</v>
      </c>
      <c r="D65" s="65" t="str">
        <f t="shared" si="0"/>
        <v>KenyaPET</v>
      </c>
    </row>
    <row r="66" spans="1:4" x14ac:dyDescent="0.25">
      <c r="A66" s="65" t="s">
        <v>652</v>
      </c>
      <c r="B66" s="65" t="s">
        <v>10</v>
      </c>
      <c r="C66" s="66">
        <v>26199.599999999999</v>
      </c>
      <c r="D66" s="65" t="str">
        <f t="shared" si="0"/>
        <v>TanzaniaPET</v>
      </c>
    </row>
    <row r="67" spans="1:4" x14ac:dyDescent="0.25">
      <c r="A67" s="65" t="s">
        <v>291</v>
      </c>
      <c r="B67" s="65" t="s">
        <v>10</v>
      </c>
      <c r="C67" s="66">
        <v>25048.81</v>
      </c>
      <c r="D67" s="65" t="str">
        <f t="shared" ref="D67:D130" si="1">A67&amp;B67</f>
        <v>CambodiaPET</v>
      </c>
    </row>
    <row r="68" spans="1:4" x14ac:dyDescent="0.25">
      <c r="A68" s="65" t="s">
        <v>653</v>
      </c>
      <c r="B68" s="65" t="s">
        <v>10</v>
      </c>
      <c r="C68" s="66">
        <v>24988.69</v>
      </c>
      <c r="D68" s="65" t="str">
        <f t="shared" si="1"/>
        <v>UgandaPET</v>
      </c>
    </row>
    <row r="69" spans="1:4" x14ac:dyDescent="0.25">
      <c r="A69" s="67" t="s">
        <v>230</v>
      </c>
      <c r="B69" s="65" t="s">
        <v>10</v>
      </c>
      <c r="C69" s="66">
        <v>24295.08</v>
      </c>
      <c r="D69" s="65" t="str">
        <f t="shared" si="1"/>
        <v>SwedenPET</v>
      </c>
    </row>
    <row r="70" spans="1:4" x14ac:dyDescent="0.25">
      <c r="A70" s="67" t="s">
        <v>654</v>
      </c>
      <c r="B70" s="65" t="s">
        <v>10</v>
      </c>
      <c r="C70" s="66">
        <v>22938.959999999999</v>
      </c>
      <c r="D70" s="65" t="str">
        <f t="shared" si="1"/>
        <v>Slovak RepublicPET</v>
      </c>
    </row>
    <row r="71" spans="1:4" x14ac:dyDescent="0.25">
      <c r="A71" s="65" t="s">
        <v>655</v>
      </c>
      <c r="B71" s="65" t="s">
        <v>10</v>
      </c>
      <c r="C71" s="66">
        <v>22662.81</v>
      </c>
      <c r="D71" s="65" t="str">
        <f t="shared" si="1"/>
        <v>KuwaitPET</v>
      </c>
    </row>
    <row r="72" spans="1:4" x14ac:dyDescent="0.25">
      <c r="A72" s="65" t="s">
        <v>656</v>
      </c>
      <c r="B72" s="65" t="s">
        <v>10</v>
      </c>
      <c r="C72" s="66">
        <v>21326.61</v>
      </c>
      <c r="D72" s="65" t="str">
        <f t="shared" si="1"/>
        <v>AzerbaijanPET</v>
      </c>
    </row>
    <row r="73" spans="1:4" x14ac:dyDescent="0.25">
      <c r="A73" s="65" t="s">
        <v>657</v>
      </c>
      <c r="B73" s="65" t="s">
        <v>10</v>
      </c>
      <c r="C73" s="66">
        <v>21271.53</v>
      </c>
      <c r="D73" s="65" t="str">
        <f t="shared" si="1"/>
        <v>AngolaPET</v>
      </c>
    </row>
    <row r="74" spans="1:4" x14ac:dyDescent="0.25">
      <c r="A74" s="65" t="s">
        <v>658</v>
      </c>
      <c r="B74" s="65" t="s">
        <v>10</v>
      </c>
      <c r="C74" s="66">
        <v>21217.25</v>
      </c>
      <c r="D74" s="65" t="str">
        <f t="shared" si="1"/>
        <v>Congo, Dem. Rep.PET</v>
      </c>
    </row>
    <row r="75" spans="1:4" x14ac:dyDescent="0.25">
      <c r="A75" s="65" t="s">
        <v>659</v>
      </c>
      <c r="B75" s="65" t="s">
        <v>10</v>
      </c>
      <c r="C75" s="66">
        <v>20381.95</v>
      </c>
      <c r="D75" s="65" t="str">
        <f t="shared" si="1"/>
        <v>JordanPET</v>
      </c>
    </row>
    <row r="76" spans="1:4" x14ac:dyDescent="0.25">
      <c r="A76" s="65" t="s">
        <v>660</v>
      </c>
      <c r="B76" s="65" t="s">
        <v>10</v>
      </c>
      <c r="C76" s="66">
        <v>19803.099999999999</v>
      </c>
      <c r="D76" s="65" t="str">
        <f t="shared" si="1"/>
        <v>Hong KongPET</v>
      </c>
    </row>
    <row r="77" spans="1:4" x14ac:dyDescent="0.25">
      <c r="A77" s="67" t="s">
        <v>217</v>
      </c>
      <c r="B77" s="65" t="s">
        <v>10</v>
      </c>
      <c r="C77" s="66">
        <v>18433.330000000002</v>
      </c>
      <c r="D77" s="65" t="str">
        <f t="shared" si="1"/>
        <v>Republic of IrelandPET</v>
      </c>
    </row>
    <row r="78" spans="1:4" x14ac:dyDescent="0.25">
      <c r="A78" s="65" t="s">
        <v>661</v>
      </c>
      <c r="B78" s="65" t="s">
        <v>10</v>
      </c>
      <c r="C78" s="66">
        <v>17883.07</v>
      </c>
      <c r="D78" s="65" t="str">
        <f t="shared" si="1"/>
        <v>QatarPET</v>
      </c>
    </row>
    <row r="79" spans="1:4" x14ac:dyDescent="0.25">
      <c r="A79" s="65" t="s">
        <v>662</v>
      </c>
      <c r="B79" s="65" t="s">
        <v>10</v>
      </c>
      <c r="C79" s="66">
        <v>17465.310000000001</v>
      </c>
      <c r="D79" s="65" t="str">
        <f t="shared" si="1"/>
        <v>UruguayPET</v>
      </c>
    </row>
    <row r="80" spans="1:4" x14ac:dyDescent="0.25">
      <c r="A80" s="67" t="s">
        <v>212</v>
      </c>
      <c r="B80" s="65" t="s">
        <v>10</v>
      </c>
      <c r="C80" s="66">
        <v>17072.740000000002</v>
      </c>
      <c r="D80" s="65" t="str">
        <f t="shared" si="1"/>
        <v>DenmarkPET</v>
      </c>
    </row>
    <row r="81" spans="1:4" x14ac:dyDescent="0.25">
      <c r="A81" s="67" t="s">
        <v>231</v>
      </c>
      <c r="B81" s="65" t="s">
        <v>10</v>
      </c>
      <c r="C81" s="66">
        <v>16952.88</v>
      </c>
      <c r="D81" s="65" t="str">
        <f t="shared" si="1"/>
        <v>NorwayPET</v>
      </c>
    </row>
    <row r="82" spans="1:4" x14ac:dyDescent="0.25">
      <c r="A82" s="65" t="s">
        <v>663</v>
      </c>
      <c r="B82" s="65" t="s">
        <v>10</v>
      </c>
      <c r="C82" s="66">
        <v>16409.8</v>
      </c>
      <c r="D82" s="65" t="str">
        <f t="shared" si="1"/>
        <v>SudanPET</v>
      </c>
    </row>
    <row r="83" spans="1:4" x14ac:dyDescent="0.25">
      <c r="A83" s="65" t="s">
        <v>664</v>
      </c>
      <c r="B83" s="65" t="s">
        <v>10</v>
      </c>
      <c r="C83" s="66">
        <v>16376.24</v>
      </c>
      <c r="D83" s="65" t="str">
        <f t="shared" si="1"/>
        <v>GeorgiaPET</v>
      </c>
    </row>
    <row r="84" spans="1:4" x14ac:dyDescent="0.25">
      <c r="A84" s="67" t="s">
        <v>209</v>
      </c>
      <c r="B84" s="65" t="s">
        <v>10</v>
      </c>
      <c r="C84" s="66">
        <v>15985.05</v>
      </c>
      <c r="D84" s="65" t="str">
        <f t="shared" si="1"/>
        <v>CroatiaPET</v>
      </c>
    </row>
    <row r="85" spans="1:4" x14ac:dyDescent="0.25">
      <c r="A85" s="65" t="s">
        <v>665</v>
      </c>
      <c r="B85" s="65" t="s">
        <v>10</v>
      </c>
      <c r="C85" s="66">
        <v>15862.3</v>
      </c>
      <c r="D85" s="65" t="str">
        <f t="shared" si="1"/>
        <v>KyrgyzstanPET</v>
      </c>
    </row>
    <row r="86" spans="1:4" x14ac:dyDescent="0.25">
      <c r="A86" s="65" t="s">
        <v>666</v>
      </c>
      <c r="B86" s="65" t="s">
        <v>10</v>
      </c>
      <c r="C86" s="66">
        <v>15723.57</v>
      </c>
      <c r="D86" s="65" t="str">
        <f t="shared" si="1"/>
        <v>Puerto RicoPET</v>
      </c>
    </row>
    <row r="87" spans="1:4" x14ac:dyDescent="0.25">
      <c r="A87" s="65" t="s">
        <v>667</v>
      </c>
      <c r="B87" s="65" t="s">
        <v>10</v>
      </c>
      <c r="C87" s="66">
        <v>15373.16</v>
      </c>
      <c r="D87" s="65" t="str">
        <f t="shared" si="1"/>
        <v>OmanPET</v>
      </c>
    </row>
    <row r="88" spans="1:4" x14ac:dyDescent="0.25">
      <c r="A88" s="65" t="s">
        <v>668</v>
      </c>
      <c r="B88" s="65" t="s">
        <v>10</v>
      </c>
      <c r="C88" s="66">
        <v>14568.01</v>
      </c>
      <c r="D88" s="65" t="str">
        <f t="shared" si="1"/>
        <v>El SalvadorPET</v>
      </c>
    </row>
    <row r="89" spans="1:4" x14ac:dyDescent="0.25">
      <c r="A89" s="65" t="s">
        <v>669</v>
      </c>
      <c r="B89" s="65" t="s">
        <v>10</v>
      </c>
      <c r="C89" s="66">
        <v>14459.1</v>
      </c>
      <c r="D89" s="65" t="str">
        <f t="shared" si="1"/>
        <v>ParaguayPET</v>
      </c>
    </row>
    <row r="90" spans="1:4" x14ac:dyDescent="0.25">
      <c r="A90" s="65" t="s">
        <v>670</v>
      </c>
      <c r="B90" s="65" t="s">
        <v>10</v>
      </c>
      <c r="C90" s="66">
        <v>14457.85</v>
      </c>
      <c r="D90" s="65" t="str">
        <f t="shared" si="1"/>
        <v>VenezuelaPET</v>
      </c>
    </row>
    <row r="91" spans="1:4" x14ac:dyDescent="0.25">
      <c r="A91" s="65" t="s">
        <v>671</v>
      </c>
      <c r="B91" s="65" t="s">
        <v>10</v>
      </c>
      <c r="C91" s="66">
        <v>14430.41</v>
      </c>
      <c r="D91" s="65" t="str">
        <f t="shared" si="1"/>
        <v>New ZealandPET</v>
      </c>
    </row>
    <row r="92" spans="1:4" x14ac:dyDescent="0.25">
      <c r="A92" s="65" t="s">
        <v>672</v>
      </c>
      <c r="B92" s="65" t="s">
        <v>10</v>
      </c>
      <c r="C92" s="66">
        <v>13726.28</v>
      </c>
      <c r="D92" s="65" t="str">
        <f t="shared" si="1"/>
        <v>LebanonPET</v>
      </c>
    </row>
    <row r="93" spans="1:4" x14ac:dyDescent="0.25">
      <c r="A93" s="65" t="s">
        <v>303</v>
      </c>
      <c r="B93" s="65" t="s">
        <v>10</v>
      </c>
      <c r="C93" s="66">
        <v>13651.58</v>
      </c>
      <c r="D93" s="65" t="str">
        <f t="shared" si="1"/>
        <v>EthiopiaPET</v>
      </c>
    </row>
    <row r="94" spans="1:4" x14ac:dyDescent="0.25">
      <c r="A94" s="67" t="s">
        <v>214</v>
      </c>
      <c r="B94" s="65" t="s">
        <v>10</v>
      </c>
      <c r="C94" s="66">
        <v>13262.92</v>
      </c>
      <c r="D94" s="65" t="str">
        <f t="shared" si="1"/>
        <v>FinlandPET</v>
      </c>
    </row>
    <row r="95" spans="1:4" x14ac:dyDescent="0.25">
      <c r="A95" s="65" t="s">
        <v>673</v>
      </c>
      <c r="B95" s="65" t="s">
        <v>10</v>
      </c>
      <c r="C95" s="66">
        <v>12610.93</v>
      </c>
      <c r="D95" s="65" t="str">
        <f t="shared" si="1"/>
        <v>JamaicaPET</v>
      </c>
    </row>
    <row r="96" spans="1:4" x14ac:dyDescent="0.25">
      <c r="A96" s="65" t="s">
        <v>674</v>
      </c>
      <c r="B96" s="65" t="s">
        <v>10</v>
      </c>
      <c r="C96" s="66">
        <v>12567.4</v>
      </c>
      <c r="D96" s="65" t="str">
        <f t="shared" si="1"/>
        <v>Costa RicaPET</v>
      </c>
    </row>
    <row r="97" spans="1:4" x14ac:dyDescent="0.25">
      <c r="A97" s="67" t="s">
        <v>220</v>
      </c>
      <c r="B97" s="65" t="s">
        <v>10</v>
      </c>
      <c r="C97" s="66">
        <v>12184.66</v>
      </c>
      <c r="D97" s="65" t="str">
        <f t="shared" si="1"/>
        <v>LithuaniaPET</v>
      </c>
    </row>
    <row r="98" spans="1:4" x14ac:dyDescent="0.25">
      <c r="A98" s="65" t="s">
        <v>675</v>
      </c>
      <c r="B98" s="65" t="s">
        <v>10</v>
      </c>
      <c r="C98" s="66">
        <v>10721.91</v>
      </c>
      <c r="D98" s="65" t="str">
        <f t="shared" si="1"/>
        <v>SingaporePET</v>
      </c>
    </row>
    <row r="99" spans="1:4" x14ac:dyDescent="0.25">
      <c r="A99" s="65" t="s">
        <v>676</v>
      </c>
      <c r="B99" s="65" t="s">
        <v>10</v>
      </c>
      <c r="C99" s="66">
        <v>10589.97</v>
      </c>
      <c r="D99" s="65" t="str">
        <f t="shared" si="1"/>
        <v>TajikistanPET</v>
      </c>
    </row>
    <row r="100" spans="1:4" x14ac:dyDescent="0.25">
      <c r="A100" s="65" t="s">
        <v>677</v>
      </c>
      <c r="B100" s="65" t="s">
        <v>10</v>
      </c>
      <c r="C100" s="66">
        <v>10577.46</v>
      </c>
      <c r="D100" s="65" t="str">
        <f t="shared" si="1"/>
        <v>Bosnia HerzegovinaPET</v>
      </c>
    </row>
    <row r="101" spans="1:4" x14ac:dyDescent="0.25">
      <c r="A101" s="65" t="s">
        <v>678</v>
      </c>
      <c r="B101" s="65" t="s">
        <v>10</v>
      </c>
      <c r="C101" s="66">
        <v>10206.35</v>
      </c>
      <c r="D101" s="65" t="str">
        <f t="shared" si="1"/>
        <v>NicaraguaPET</v>
      </c>
    </row>
    <row r="102" spans="1:4" x14ac:dyDescent="0.25">
      <c r="A102" s="65" t="s">
        <v>679</v>
      </c>
      <c r="B102" s="65" t="s">
        <v>10</v>
      </c>
      <c r="C102" s="66">
        <v>10055.700000000001</v>
      </c>
      <c r="D102" s="65" t="str">
        <f t="shared" si="1"/>
        <v>LaosPET</v>
      </c>
    </row>
    <row r="103" spans="1:4" x14ac:dyDescent="0.25">
      <c r="A103" s="65" t="s">
        <v>680</v>
      </c>
      <c r="B103" s="65" t="s">
        <v>10</v>
      </c>
      <c r="C103" s="66">
        <v>9532.07</v>
      </c>
      <c r="D103" s="65" t="str">
        <f t="shared" si="1"/>
        <v>North MacedoniaPET</v>
      </c>
    </row>
    <row r="104" spans="1:4" x14ac:dyDescent="0.25">
      <c r="A104" s="65" t="s">
        <v>681</v>
      </c>
      <c r="B104" s="65" t="s">
        <v>10</v>
      </c>
      <c r="C104" s="66">
        <v>9505.41</v>
      </c>
      <c r="D104" s="65" t="str">
        <f t="shared" si="1"/>
        <v>Papua New GuineaPET</v>
      </c>
    </row>
    <row r="105" spans="1:4" x14ac:dyDescent="0.25">
      <c r="A105" s="65" t="s">
        <v>682</v>
      </c>
      <c r="B105" s="65" t="s">
        <v>10</v>
      </c>
      <c r="C105" s="66">
        <v>9475.68</v>
      </c>
      <c r="D105" s="65" t="str">
        <f t="shared" si="1"/>
        <v>Sri LankaPET</v>
      </c>
    </row>
    <row r="106" spans="1:4" x14ac:dyDescent="0.25">
      <c r="A106" s="65" t="s">
        <v>683</v>
      </c>
      <c r="B106" s="65" t="s">
        <v>10</v>
      </c>
      <c r="C106" s="66">
        <v>9414.69</v>
      </c>
      <c r="D106" s="65" t="str">
        <f t="shared" si="1"/>
        <v>HaitiPET</v>
      </c>
    </row>
    <row r="107" spans="1:4" x14ac:dyDescent="0.25">
      <c r="A107" s="65" t="s">
        <v>684</v>
      </c>
      <c r="B107" s="65" t="s">
        <v>10</v>
      </c>
      <c r="C107" s="66">
        <v>9222.58</v>
      </c>
      <c r="D107" s="65" t="str">
        <f t="shared" si="1"/>
        <v>TurkmenistanPET</v>
      </c>
    </row>
    <row r="108" spans="1:4" x14ac:dyDescent="0.25">
      <c r="A108" s="65" t="s">
        <v>685</v>
      </c>
      <c r="B108" s="65" t="s">
        <v>10</v>
      </c>
      <c r="C108" s="66">
        <v>9097.48</v>
      </c>
      <c r="D108" s="65" t="str">
        <f t="shared" si="1"/>
        <v>PanamaPET</v>
      </c>
    </row>
    <row r="109" spans="1:4" x14ac:dyDescent="0.25">
      <c r="A109" s="65" t="s">
        <v>686</v>
      </c>
      <c r="B109" s="65" t="s">
        <v>10</v>
      </c>
      <c r="C109" s="66">
        <v>8682.25</v>
      </c>
      <c r="D109" s="65" t="str">
        <f t="shared" si="1"/>
        <v>ZambiaPET</v>
      </c>
    </row>
    <row r="110" spans="1:4" x14ac:dyDescent="0.25">
      <c r="A110" s="65" t="s">
        <v>687</v>
      </c>
      <c r="B110" s="65" t="s">
        <v>10</v>
      </c>
      <c r="C110" s="66">
        <v>8486.1</v>
      </c>
      <c r="D110" s="65" t="str">
        <f t="shared" si="1"/>
        <v>BahrainPET</v>
      </c>
    </row>
    <row r="111" spans="1:4" x14ac:dyDescent="0.25">
      <c r="A111" s="65" t="s">
        <v>688</v>
      </c>
      <c r="B111" s="65" t="s">
        <v>10</v>
      </c>
      <c r="C111" s="66">
        <v>8193.4</v>
      </c>
      <c r="D111" s="65" t="str">
        <f t="shared" si="1"/>
        <v>MoldovaPET</v>
      </c>
    </row>
    <row r="112" spans="1:4" x14ac:dyDescent="0.25">
      <c r="A112" s="67" t="s">
        <v>228</v>
      </c>
      <c r="B112" s="65" t="s">
        <v>10</v>
      </c>
      <c r="C112" s="66">
        <v>7932.65</v>
      </c>
      <c r="D112" s="65" t="str">
        <f t="shared" si="1"/>
        <v>SloveniaPET</v>
      </c>
    </row>
    <row r="113" spans="1:4" x14ac:dyDescent="0.25">
      <c r="A113" s="65" t="s">
        <v>689</v>
      </c>
      <c r="B113" s="65" t="s">
        <v>10</v>
      </c>
      <c r="C113" s="66">
        <v>7620.7</v>
      </c>
      <c r="D113" s="65" t="str">
        <f t="shared" si="1"/>
        <v>KosovoPET</v>
      </c>
    </row>
    <row r="114" spans="1:4" x14ac:dyDescent="0.25">
      <c r="A114" s="65" t="s">
        <v>690</v>
      </c>
      <c r="B114" s="65" t="s">
        <v>10</v>
      </c>
      <c r="C114" s="66">
        <v>7537.52</v>
      </c>
      <c r="D114" s="65" t="str">
        <f t="shared" si="1"/>
        <v>Trinidad and TobagoPET</v>
      </c>
    </row>
    <row r="115" spans="1:4" x14ac:dyDescent="0.25">
      <c r="A115" s="67" t="s">
        <v>219</v>
      </c>
      <c r="B115" s="65" t="s">
        <v>10</v>
      </c>
      <c r="C115" s="66">
        <v>7285</v>
      </c>
      <c r="D115" s="65" t="str">
        <f t="shared" si="1"/>
        <v>LatviaPET</v>
      </c>
    </row>
    <row r="116" spans="1:4" x14ac:dyDescent="0.25">
      <c r="A116" s="65" t="s">
        <v>691</v>
      </c>
      <c r="B116" s="65" t="s">
        <v>10</v>
      </c>
      <c r="C116" s="66">
        <v>7065.15</v>
      </c>
      <c r="D116" s="65" t="str">
        <f t="shared" si="1"/>
        <v>MozambiquePET</v>
      </c>
    </row>
    <row r="117" spans="1:4" x14ac:dyDescent="0.25">
      <c r="A117" s="65" t="s">
        <v>692</v>
      </c>
      <c r="B117" s="65" t="s">
        <v>10</v>
      </c>
      <c r="C117" s="66">
        <v>6535.22</v>
      </c>
      <c r="D117" s="65" t="str">
        <f t="shared" si="1"/>
        <v>AlbaniaPET</v>
      </c>
    </row>
    <row r="118" spans="1:4" x14ac:dyDescent="0.25">
      <c r="A118" s="65" t="s">
        <v>693</v>
      </c>
      <c r="B118" s="65" t="s">
        <v>10</v>
      </c>
      <c r="C118" s="66">
        <v>6401.94</v>
      </c>
      <c r="D118" s="65" t="str">
        <f t="shared" si="1"/>
        <v>SyriaPET</v>
      </c>
    </row>
    <row r="119" spans="1:4" x14ac:dyDescent="0.25">
      <c r="A119" s="65" t="s">
        <v>694</v>
      </c>
      <c r="B119" s="65" t="s">
        <v>10</v>
      </c>
      <c r="C119" s="66">
        <v>6345.6</v>
      </c>
      <c r="D119" s="65" t="str">
        <f t="shared" si="1"/>
        <v>MadagascarPET</v>
      </c>
    </row>
    <row r="120" spans="1:4" x14ac:dyDescent="0.25">
      <c r="A120" s="65" t="s">
        <v>695</v>
      </c>
      <c r="B120" s="65" t="s">
        <v>10</v>
      </c>
      <c r="C120" s="66">
        <v>6148.67</v>
      </c>
      <c r="D120" s="65" t="str">
        <f t="shared" si="1"/>
        <v>CubaPET</v>
      </c>
    </row>
    <row r="121" spans="1:4" x14ac:dyDescent="0.25">
      <c r="A121" s="65" t="s">
        <v>696</v>
      </c>
      <c r="B121" s="65" t="s">
        <v>10</v>
      </c>
      <c r="C121" s="66">
        <v>6034.62</v>
      </c>
      <c r="D121" s="65" t="str">
        <f t="shared" si="1"/>
        <v>Cote dIvoirePET</v>
      </c>
    </row>
    <row r="122" spans="1:4" x14ac:dyDescent="0.25">
      <c r="A122" s="65" t="s">
        <v>697</v>
      </c>
      <c r="B122" s="65" t="s">
        <v>10</v>
      </c>
      <c r="C122" s="66">
        <v>6021.18</v>
      </c>
      <c r="D122" s="65" t="str">
        <f t="shared" si="1"/>
        <v>ArmeniaPET</v>
      </c>
    </row>
    <row r="123" spans="1:4" x14ac:dyDescent="0.25">
      <c r="A123" s="65" t="s">
        <v>698</v>
      </c>
      <c r="B123" s="65" t="s">
        <v>10</v>
      </c>
      <c r="C123" s="66">
        <v>5981.9</v>
      </c>
      <c r="D123" s="65" t="str">
        <f t="shared" si="1"/>
        <v>CameroonPET</v>
      </c>
    </row>
    <row r="124" spans="1:4" x14ac:dyDescent="0.25">
      <c r="A124" s="67" t="s">
        <v>222</v>
      </c>
      <c r="B124" s="65" t="s">
        <v>10</v>
      </c>
      <c r="C124" s="66">
        <v>5729.17</v>
      </c>
      <c r="D124" s="65" t="str">
        <f t="shared" si="1"/>
        <v>MaltaPET</v>
      </c>
    </row>
    <row r="125" spans="1:4" x14ac:dyDescent="0.25">
      <c r="A125" s="65" t="s">
        <v>699</v>
      </c>
      <c r="B125" s="65" t="s">
        <v>10</v>
      </c>
      <c r="C125" s="66">
        <v>5614.48</v>
      </c>
      <c r="D125" s="65" t="str">
        <f t="shared" si="1"/>
        <v>NigerPET</v>
      </c>
    </row>
    <row r="126" spans="1:4" x14ac:dyDescent="0.25">
      <c r="A126" s="65" t="s">
        <v>700</v>
      </c>
      <c r="B126" s="65" t="s">
        <v>10</v>
      </c>
      <c r="C126" s="66">
        <v>4858.84</v>
      </c>
      <c r="D126" s="65" t="str">
        <f t="shared" si="1"/>
        <v>Burkina FasoPET</v>
      </c>
    </row>
    <row r="127" spans="1:4" x14ac:dyDescent="0.25">
      <c r="A127" s="65" t="s">
        <v>701</v>
      </c>
      <c r="B127" s="65" t="s">
        <v>10</v>
      </c>
      <c r="C127" s="66">
        <v>4841.66</v>
      </c>
      <c r="D127" s="65" t="str">
        <f t="shared" si="1"/>
        <v>MaliPET</v>
      </c>
    </row>
    <row r="128" spans="1:4" x14ac:dyDescent="0.25">
      <c r="A128" s="65" t="s">
        <v>702</v>
      </c>
      <c r="B128" s="65" t="s">
        <v>10</v>
      </c>
      <c r="C128" s="66">
        <v>4372.7299999999996</v>
      </c>
      <c r="D128" s="65" t="str">
        <f t="shared" si="1"/>
        <v>MalawiPET</v>
      </c>
    </row>
    <row r="129" spans="1:4" x14ac:dyDescent="0.25">
      <c r="A129" s="67" t="s">
        <v>210</v>
      </c>
      <c r="B129" s="65" t="s">
        <v>10</v>
      </c>
      <c r="C129" s="66">
        <v>4166.05</v>
      </c>
      <c r="D129" s="65" t="str">
        <f t="shared" si="1"/>
        <v>CyprusPET</v>
      </c>
    </row>
    <row r="130" spans="1:4" x14ac:dyDescent="0.25">
      <c r="A130" s="67" t="s">
        <v>213</v>
      </c>
      <c r="B130" s="65" t="s">
        <v>10</v>
      </c>
      <c r="C130" s="66">
        <v>3808.87</v>
      </c>
      <c r="D130" s="65" t="str">
        <f t="shared" si="1"/>
        <v>EstoniaPET</v>
      </c>
    </row>
    <row r="131" spans="1:4" x14ac:dyDescent="0.25">
      <c r="A131" s="65" t="s">
        <v>703</v>
      </c>
      <c r="B131" s="65" t="s">
        <v>10</v>
      </c>
      <c r="C131" s="66">
        <v>3801.31</v>
      </c>
      <c r="D131" s="65" t="str">
        <f t="shared" ref="D131:D194" si="2">A131&amp;B131</f>
        <v>SenegalPET</v>
      </c>
    </row>
    <row r="132" spans="1:4" x14ac:dyDescent="0.25">
      <c r="A132" s="65" t="s">
        <v>704</v>
      </c>
      <c r="B132" s="65" t="s">
        <v>10</v>
      </c>
      <c r="C132" s="66">
        <v>3797.99</v>
      </c>
      <c r="D132" s="65" t="str">
        <f t="shared" si="2"/>
        <v>ChadPET</v>
      </c>
    </row>
    <row r="133" spans="1:4" x14ac:dyDescent="0.25">
      <c r="A133" s="67" t="s">
        <v>221</v>
      </c>
      <c r="B133" s="65" t="s">
        <v>10</v>
      </c>
      <c r="C133" s="66">
        <v>3758.44</v>
      </c>
      <c r="D133" s="65" t="str">
        <f t="shared" si="2"/>
        <v>LuxembourgPET</v>
      </c>
    </row>
    <row r="134" spans="1:4" x14ac:dyDescent="0.25">
      <c r="A134" s="65" t="s">
        <v>705</v>
      </c>
      <c r="B134" s="65" t="s">
        <v>10</v>
      </c>
      <c r="C134" s="66">
        <v>3550.98</v>
      </c>
      <c r="D134" s="65" t="str">
        <f t="shared" si="2"/>
        <v>MongoliaPET</v>
      </c>
    </row>
    <row r="135" spans="1:4" x14ac:dyDescent="0.25">
      <c r="A135" s="65" t="s">
        <v>706</v>
      </c>
      <c r="B135" s="65" t="s">
        <v>10</v>
      </c>
      <c r="C135" s="66">
        <v>3497.39</v>
      </c>
      <c r="D135" s="65" t="str">
        <f t="shared" si="2"/>
        <v>ZimbabwePET</v>
      </c>
    </row>
    <row r="136" spans="1:4" x14ac:dyDescent="0.25">
      <c r="A136" s="65" t="s">
        <v>707</v>
      </c>
      <c r="B136" s="65" t="s">
        <v>10</v>
      </c>
      <c r="C136" s="66">
        <v>3205.87</v>
      </c>
      <c r="D136" s="65" t="str">
        <f t="shared" si="2"/>
        <v>MontenegroPET</v>
      </c>
    </row>
    <row r="137" spans="1:4" x14ac:dyDescent="0.25">
      <c r="A137" s="65" t="s">
        <v>708</v>
      </c>
      <c r="B137" s="65" t="s">
        <v>10</v>
      </c>
      <c r="C137" s="66">
        <v>2969.97</v>
      </c>
      <c r="D137" s="65" t="str">
        <f t="shared" si="2"/>
        <v>GuineaPET</v>
      </c>
    </row>
    <row r="138" spans="1:4" x14ac:dyDescent="0.25">
      <c r="A138" s="65" t="s">
        <v>709</v>
      </c>
      <c r="B138" s="65" t="s">
        <v>10</v>
      </c>
      <c r="C138" s="66">
        <v>2952.26</v>
      </c>
      <c r="D138" s="65" t="str">
        <f t="shared" si="2"/>
        <v>RwandaPET</v>
      </c>
    </row>
    <row r="139" spans="1:4" x14ac:dyDescent="0.25">
      <c r="A139" s="65" t="s">
        <v>710</v>
      </c>
      <c r="B139" s="65" t="s">
        <v>10</v>
      </c>
      <c r="C139" s="66">
        <v>2861.43</v>
      </c>
      <c r="D139" s="65" t="str">
        <f t="shared" si="2"/>
        <v>BeninPET</v>
      </c>
    </row>
    <row r="140" spans="1:4" x14ac:dyDescent="0.25">
      <c r="A140" s="65" t="s">
        <v>711</v>
      </c>
      <c r="B140" s="65" t="s">
        <v>10</v>
      </c>
      <c r="C140" s="66">
        <v>2762.15</v>
      </c>
      <c r="D140" s="65" t="str">
        <f t="shared" si="2"/>
        <v>BurundiPET</v>
      </c>
    </row>
    <row r="141" spans="1:4" x14ac:dyDescent="0.25">
      <c r="A141" s="65" t="s">
        <v>712</v>
      </c>
      <c r="B141" s="65" t="s">
        <v>10</v>
      </c>
      <c r="C141" s="66">
        <v>2539.2600000000002</v>
      </c>
      <c r="D141" s="65" t="str">
        <f t="shared" si="2"/>
        <v>Bahamas, ThePET</v>
      </c>
    </row>
    <row r="142" spans="1:4" x14ac:dyDescent="0.25">
      <c r="A142" s="65" t="s">
        <v>713</v>
      </c>
      <c r="B142" s="65" t="s">
        <v>10</v>
      </c>
      <c r="C142" s="66">
        <v>2384.69</v>
      </c>
      <c r="D142" s="65" t="str">
        <f t="shared" si="2"/>
        <v>GuyanaPET</v>
      </c>
    </row>
    <row r="143" spans="1:4" x14ac:dyDescent="0.25">
      <c r="A143" s="65" t="s">
        <v>714</v>
      </c>
      <c r="B143" s="65" t="s">
        <v>10</v>
      </c>
      <c r="C143" s="66">
        <v>2338.62</v>
      </c>
      <c r="D143" s="65" t="str">
        <f t="shared" si="2"/>
        <v>South SudanPET</v>
      </c>
    </row>
    <row r="144" spans="1:4" x14ac:dyDescent="0.25">
      <c r="A144" s="65" t="s">
        <v>715</v>
      </c>
      <c r="B144" s="65" t="s">
        <v>10</v>
      </c>
      <c r="C144" s="66">
        <v>1955.21</v>
      </c>
      <c r="D144" s="65" t="str">
        <f t="shared" si="2"/>
        <v>BelizePET</v>
      </c>
    </row>
    <row r="145" spans="1:4" x14ac:dyDescent="0.25">
      <c r="A145" s="65" t="s">
        <v>716</v>
      </c>
      <c r="B145" s="65" t="s">
        <v>10</v>
      </c>
      <c r="C145" s="66">
        <v>1896.22</v>
      </c>
      <c r="D145" s="65" t="str">
        <f t="shared" si="2"/>
        <v>TogoPET</v>
      </c>
    </row>
    <row r="146" spans="1:4" x14ac:dyDescent="0.25">
      <c r="A146" s="65" t="s">
        <v>717</v>
      </c>
      <c r="B146" s="65" t="s">
        <v>10</v>
      </c>
      <c r="C146" s="66">
        <v>1844.15</v>
      </c>
      <c r="D146" s="65" t="str">
        <f t="shared" si="2"/>
        <v>Sierra LeonePET</v>
      </c>
    </row>
    <row r="147" spans="1:4" x14ac:dyDescent="0.25">
      <c r="A147" s="65" t="s">
        <v>718</v>
      </c>
      <c r="B147" s="65" t="s">
        <v>10</v>
      </c>
      <c r="C147" s="66">
        <v>1572.85</v>
      </c>
      <c r="D147" s="65" t="str">
        <f t="shared" si="2"/>
        <v>SurinamePET</v>
      </c>
    </row>
    <row r="148" spans="1:4" x14ac:dyDescent="0.25">
      <c r="A148" s="67" t="s">
        <v>719</v>
      </c>
      <c r="B148" s="65" t="s">
        <v>10</v>
      </c>
      <c r="C148" s="66">
        <v>1542.09</v>
      </c>
      <c r="D148" s="65" t="str">
        <f t="shared" si="2"/>
        <v>IcelandPET</v>
      </c>
    </row>
    <row r="149" spans="1:4" x14ac:dyDescent="0.25">
      <c r="A149" s="65" t="s">
        <v>720</v>
      </c>
      <c r="B149" s="65" t="s">
        <v>10</v>
      </c>
      <c r="C149" s="66">
        <v>1477.61</v>
      </c>
      <c r="D149" s="65" t="str">
        <f t="shared" si="2"/>
        <v>BarbadosPET</v>
      </c>
    </row>
    <row r="150" spans="1:4" x14ac:dyDescent="0.25">
      <c r="A150" s="65" t="s">
        <v>721</v>
      </c>
      <c r="B150" s="65" t="s">
        <v>10</v>
      </c>
      <c r="C150" s="66">
        <v>1392.38</v>
      </c>
      <c r="D150" s="65" t="str">
        <f t="shared" si="2"/>
        <v>Timor LestePET</v>
      </c>
    </row>
    <row r="151" spans="1:4" x14ac:dyDescent="0.25">
      <c r="A151" s="65" t="s">
        <v>722</v>
      </c>
      <c r="B151" s="65" t="s">
        <v>10</v>
      </c>
      <c r="C151" s="66">
        <v>1279.42</v>
      </c>
      <c r="D151" s="65" t="str">
        <f t="shared" si="2"/>
        <v>Congo, Rep.PET</v>
      </c>
    </row>
    <row r="152" spans="1:4" x14ac:dyDescent="0.25">
      <c r="A152" s="65" t="s">
        <v>723</v>
      </c>
      <c r="B152" s="65" t="s">
        <v>10</v>
      </c>
      <c r="C152" s="66">
        <v>1195.57</v>
      </c>
      <c r="D152" s="65" t="str">
        <f t="shared" si="2"/>
        <v>Central African RepublicPET</v>
      </c>
    </row>
    <row r="153" spans="1:4" x14ac:dyDescent="0.25">
      <c r="A153" s="65" t="s">
        <v>724</v>
      </c>
      <c r="B153" s="65" t="s">
        <v>10</v>
      </c>
      <c r="C153" s="66">
        <v>1136.33</v>
      </c>
      <c r="D153" s="65" t="str">
        <f t="shared" si="2"/>
        <v>LiberiaPET</v>
      </c>
    </row>
    <row r="154" spans="1:4" x14ac:dyDescent="0.25">
      <c r="A154" s="65" t="s">
        <v>725</v>
      </c>
      <c r="B154" s="65" t="s">
        <v>10</v>
      </c>
      <c r="C154" s="66">
        <v>1014.92</v>
      </c>
      <c r="D154" s="65" t="str">
        <f t="shared" si="2"/>
        <v>MauritaniaPET</v>
      </c>
    </row>
    <row r="155" spans="1:4" x14ac:dyDescent="0.25">
      <c r="A155" s="65" t="s">
        <v>726</v>
      </c>
      <c r="B155" s="65" t="s">
        <v>10</v>
      </c>
      <c r="C155" s="66">
        <v>900.59</v>
      </c>
      <c r="D155" s="65" t="str">
        <f t="shared" si="2"/>
        <v>French GuianaPET</v>
      </c>
    </row>
    <row r="156" spans="1:4" x14ac:dyDescent="0.25">
      <c r="A156" s="65" t="s">
        <v>727</v>
      </c>
      <c r="B156" s="65" t="s">
        <v>10</v>
      </c>
      <c r="C156" s="66">
        <v>871.35</v>
      </c>
      <c r="D156" s="65" t="str">
        <f t="shared" si="2"/>
        <v>FijiPET</v>
      </c>
    </row>
    <row r="157" spans="1:4" x14ac:dyDescent="0.25">
      <c r="A157" s="65" t="s">
        <v>728</v>
      </c>
      <c r="B157" s="65" t="s">
        <v>10</v>
      </c>
      <c r="C157" s="66">
        <v>815.35</v>
      </c>
      <c r="D157" s="65" t="str">
        <f t="shared" si="2"/>
        <v>CuracaoPET</v>
      </c>
    </row>
    <row r="158" spans="1:4" x14ac:dyDescent="0.25">
      <c r="A158" s="65" t="s">
        <v>729</v>
      </c>
      <c r="B158" s="65" t="s">
        <v>10</v>
      </c>
      <c r="C158" s="66">
        <v>812.26</v>
      </c>
      <c r="D158" s="65" t="str">
        <f t="shared" si="2"/>
        <v>BhutanPET</v>
      </c>
    </row>
    <row r="159" spans="1:4" x14ac:dyDescent="0.25">
      <c r="A159" s="65" t="s">
        <v>730</v>
      </c>
      <c r="B159" s="65" t="s">
        <v>10</v>
      </c>
      <c r="C159" s="66">
        <v>789.46</v>
      </c>
      <c r="D159" s="65" t="str">
        <f t="shared" si="2"/>
        <v>EritreaPET</v>
      </c>
    </row>
    <row r="160" spans="1:4" x14ac:dyDescent="0.25">
      <c r="A160" s="65" t="s">
        <v>731</v>
      </c>
      <c r="B160" s="65" t="s">
        <v>10</v>
      </c>
      <c r="C160" s="66">
        <v>713.82</v>
      </c>
      <c r="D160" s="65" t="str">
        <f t="shared" si="2"/>
        <v>St. LuciaPET</v>
      </c>
    </row>
    <row r="161" spans="1:4" x14ac:dyDescent="0.25">
      <c r="A161" s="65" t="s">
        <v>732</v>
      </c>
      <c r="B161" s="65" t="s">
        <v>10</v>
      </c>
      <c r="C161" s="66">
        <v>665.3</v>
      </c>
      <c r="D161" s="65" t="str">
        <f t="shared" si="2"/>
        <v>Solomon IslandsPET</v>
      </c>
    </row>
    <row r="162" spans="1:4" x14ac:dyDescent="0.25">
      <c r="A162" s="65" t="s">
        <v>733</v>
      </c>
      <c r="B162" s="65" t="s">
        <v>10</v>
      </c>
      <c r="C162" s="66">
        <v>607.48</v>
      </c>
      <c r="D162" s="65" t="str">
        <f t="shared" si="2"/>
        <v>ArubaPET</v>
      </c>
    </row>
    <row r="163" spans="1:4" x14ac:dyDescent="0.25">
      <c r="A163" s="65" t="s">
        <v>734</v>
      </c>
      <c r="B163" s="65" t="s">
        <v>10</v>
      </c>
      <c r="C163" s="66">
        <v>579.88</v>
      </c>
      <c r="D163" s="65" t="str">
        <f t="shared" si="2"/>
        <v>Gambia, ThePET</v>
      </c>
    </row>
    <row r="164" spans="1:4" x14ac:dyDescent="0.25">
      <c r="A164" s="65" t="s">
        <v>735</v>
      </c>
      <c r="B164" s="65" t="s">
        <v>10</v>
      </c>
      <c r="C164" s="66">
        <v>563.66</v>
      </c>
      <c r="D164" s="65" t="str">
        <f t="shared" si="2"/>
        <v>BotswanaPET</v>
      </c>
    </row>
    <row r="165" spans="1:4" x14ac:dyDescent="0.25">
      <c r="A165" s="65" t="s">
        <v>736</v>
      </c>
      <c r="B165" s="65" t="s">
        <v>10</v>
      </c>
      <c r="C165" s="66">
        <v>550.09</v>
      </c>
      <c r="D165" s="65" t="str">
        <f t="shared" si="2"/>
        <v>NamibiaPET</v>
      </c>
    </row>
    <row r="166" spans="1:4" x14ac:dyDescent="0.25">
      <c r="A166" s="65" t="s">
        <v>737</v>
      </c>
      <c r="B166" s="65" t="s">
        <v>10</v>
      </c>
      <c r="C166" s="66">
        <v>543.74</v>
      </c>
      <c r="D166" s="65" t="str">
        <f t="shared" si="2"/>
        <v>MaldivesPET</v>
      </c>
    </row>
    <row r="167" spans="1:4" x14ac:dyDescent="0.25">
      <c r="A167" s="65" t="s">
        <v>738</v>
      </c>
      <c r="B167" s="65" t="s">
        <v>10</v>
      </c>
      <c r="C167" s="66">
        <v>529.84</v>
      </c>
      <c r="D167" s="65" t="str">
        <f t="shared" si="2"/>
        <v>Brunei DarussalamPET</v>
      </c>
    </row>
    <row r="168" spans="1:4" x14ac:dyDescent="0.25">
      <c r="A168" s="65" t="s">
        <v>739</v>
      </c>
      <c r="B168" s="65" t="s">
        <v>10</v>
      </c>
      <c r="C168" s="66">
        <v>511.95</v>
      </c>
      <c r="D168" s="65" t="str">
        <f t="shared" si="2"/>
        <v>GabonPET</v>
      </c>
    </row>
    <row r="169" spans="1:4" x14ac:dyDescent="0.25">
      <c r="A169" s="65" t="s">
        <v>740</v>
      </c>
      <c r="B169" s="65" t="s">
        <v>10</v>
      </c>
      <c r="C169" s="66">
        <v>494.12</v>
      </c>
      <c r="D169" s="65" t="str">
        <f t="shared" si="2"/>
        <v>LesothoPET</v>
      </c>
    </row>
    <row r="170" spans="1:4" x14ac:dyDescent="0.25">
      <c r="A170" s="65" t="s">
        <v>741</v>
      </c>
      <c r="B170" s="65" t="s">
        <v>10</v>
      </c>
      <c r="C170" s="66">
        <v>451.21</v>
      </c>
      <c r="D170" s="65" t="str">
        <f t="shared" si="2"/>
        <v>Guinea-BissauPET</v>
      </c>
    </row>
    <row r="171" spans="1:4" x14ac:dyDescent="0.25">
      <c r="A171" s="65" t="s">
        <v>742</v>
      </c>
      <c r="B171" s="65" t="s">
        <v>10</v>
      </c>
      <c r="C171" s="66">
        <v>403.61</v>
      </c>
      <c r="D171" s="65" t="str">
        <f t="shared" si="2"/>
        <v>St. Vincent and the GrenadinesPET</v>
      </c>
    </row>
    <row r="172" spans="1:4" x14ac:dyDescent="0.25">
      <c r="A172" s="65" t="s">
        <v>743</v>
      </c>
      <c r="B172" s="65" t="s">
        <v>10</v>
      </c>
      <c r="C172" s="66">
        <v>402.31</v>
      </c>
      <c r="D172" s="65" t="str">
        <f t="shared" si="2"/>
        <v>GrenadaPET</v>
      </c>
    </row>
    <row r="173" spans="1:4" x14ac:dyDescent="0.25">
      <c r="A173" s="65" t="s">
        <v>744</v>
      </c>
      <c r="B173" s="65" t="s">
        <v>10</v>
      </c>
      <c r="C173" s="66">
        <v>358.92</v>
      </c>
      <c r="D173" s="65" t="str">
        <f t="shared" si="2"/>
        <v>Equatorial GuineaPET</v>
      </c>
    </row>
    <row r="174" spans="1:4" x14ac:dyDescent="0.25">
      <c r="A174" s="65" t="s">
        <v>745</v>
      </c>
      <c r="B174" s="65" t="s">
        <v>10</v>
      </c>
      <c r="C174" s="66">
        <v>356.35</v>
      </c>
      <c r="D174" s="65" t="str">
        <f t="shared" si="2"/>
        <v>BermudaPET</v>
      </c>
    </row>
    <row r="175" spans="1:4" x14ac:dyDescent="0.25">
      <c r="A175" s="65" t="s">
        <v>746</v>
      </c>
      <c r="B175" s="65" t="s">
        <v>10</v>
      </c>
      <c r="C175" s="66">
        <v>338.39</v>
      </c>
      <c r="D175" s="65" t="str">
        <f t="shared" si="2"/>
        <v>AndorraPET</v>
      </c>
    </row>
    <row r="176" spans="1:4" x14ac:dyDescent="0.25">
      <c r="A176" s="65" t="s">
        <v>747</v>
      </c>
      <c r="B176" s="65" t="s">
        <v>10</v>
      </c>
      <c r="C176" s="66">
        <v>296.63</v>
      </c>
      <c r="D176" s="65" t="str">
        <f t="shared" si="2"/>
        <v>DominicaPET</v>
      </c>
    </row>
    <row r="177" spans="1:4" x14ac:dyDescent="0.25">
      <c r="A177" s="65" t="s">
        <v>748</v>
      </c>
      <c r="B177" s="65" t="s">
        <v>10</v>
      </c>
      <c r="C177" s="66">
        <v>291.92</v>
      </c>
      <c r="D177" s="65" t="str">
        <f t="shared" si="2"/>
        <v>St. Kitts and NevisPET</v>
      </c>
    </row>
    <row r="178" spans="1:4" x14ac:dyDescent="0.25">
      <c r="A178" s="65" t="s">
        <v>749</v>
      </c>
      <c r="B178" s="65" t="s">
        <v>10</v>
      </c>
      <c r="C178" s="66">
        <v>291.63</v>
      </c>
      <c r="D178" s="65" t="str">
        <f t="shared" si="2"/>
        <v>Antigua and BarbudaPET</v>
      </c>
    </row>
    <row r="179" spans="1:4" x14ac:dyDescent="0.25">
      <c r="A179" s="65" t="s">
        <v>750</v>
      </c>
      <c r="B179" s="65" t="s">
        <v>10</v>
      </c>
      <c r="C179" s="66">
        <v>287.04000000000002</v>
      </c>
      <c r="D179" s="65" t="str">
        <f t="shared" si="2"/>
        <v>French PolynesiaPET</v>
      </c>
    </row>
    <row r="180" spans="1:4" x14ac:dyDescent="0.25">
      <c r="A180" s="65" t="s">
        <v>751</v>
      </c>
      <c r="B180" s="65" t="s">
        <v>10</v>
      </c>
      <c r="C180" s="66">
        <v>271.45999999999998</v>
      </c>
      <c r="D180" s="65" t="str">
        <f t="shared" si="2"/>
        <v>MauritiusPET</v>
      </c>
    </row>
    <row r="181" spans="1:4" x14ac:dyDescent="0.25">
      <c r="A181" s="65" t="s">
        <v>752</v>
      </c>
      <c r="B181" s="65" t="s">
        <v>10</v>
      </c>
      <c r="C181" s="66">
        <v>271.27999999999997</v>
      </c>
      <c r="D181" s="65" t="str">
        <f t="shared" si="2"/>
        <v>New CaledoniaPET</v>
      </c>
    </row>
    <row r="182" spans="1:4" x14ac:dyDescent="0.25">
      <c r="A182" s="65" t="s">
        <v>753</v>
      </c>
      <c r="B182" s="65" t="s">
        <v>10</v>
      </c>
      <c r="C182" s="66">
        <v>257.63</v>
      </c>
      <c r="D182" s="65" t="str">
        <f t="shared" si="2"/>
        <v>EswatiniPET</v>
      </c>
    </row>
    <row r="183" spans="1:4" x14ac:dyDescent="0.25">
      <c r="A183" s="65" t="s">
        <v>754</v>
      </c>
      <c r="B183" s="65" t="s">
        <v>10</v>
      </c>
      <c r="C183" s="66">
        <v>240.21</v>
      </c>
      <c r="D183" s="65" t="str">
        <f t="shared" si="2"/>
        <v>DjiboutiPET</v>
      </c>
    </row>
    <row r="184" spans="1:4" x14ac:dyDescent="0.25">
      <c r="A184" s="65" t="s">
        <v>755</v>
      </c>
      <c r="B184" s="65" t="s">
        <v>10</v>
      </c>
      <c r="C184" s="66">
        <v>229.34</v>
      </c>
      <c r="D184" s="65" t="str">
        <f t="shared" si="2"/>
        <v>GreenlandPET</v>
      </c>
    </row>
    <row r="185" spans="1:4" x14ac:dyDescent="0.25">
      <c r="A185" s="65" t="s">
        <v>756</v>
      </c>
      <c r="B185" s="65" t="s">
        <v>10</v>
      </c>
      <c r="C185" s="66">
        <v>210.68</v>
      </c>
      <c r="D185" s="65" t="str">
        <f t="shared" si="2"/>
        <v>Faroe IslandsPET</v>
      </c>
    </row>
    <row r="186" spans="1:4" x14ac:dyDescent="0.25">
      <c r="A186" s="65" t="s">
        <v>757</v>
      </c>
      <c r="B186" s="65" t="s">
        <v>10</v>
      </c>
      <c r="C186" s="66">
        <v>208.41</v>
      </c>
      <c r="D186" s="65" t="str">
        <f t="shared" si="2"/>
        <v>SamoaPET</v>
      </c>
    </row>
    <row r="187" spans="1:4" x14ac:dyDescent="0.25">
      <c r="A187" s="65" t="s">
        <v>758</v>
      </c>
      <c r="B187" s="65" t="s">
        <v>10</v>
      </c>
      <c r="C187" s="66">
        <v>179.32</v>
      </c>
      <c r="D187" s="65" t="str">
        <f t="shared" si="2"/>
        <v>ComorosPET</v>
      </c>
    </row>
    <row r="188" spans="1:4" x14ac:dyDescent="0.25">
      <c r="A188" s="65" t="s">
        <v>759</v>
      </c>
      <c r="B188" s="65" t="s">
        <v>10</v>
      </c>
      <c r="C188" s="66">
        <v>166.05</v>
      </c>
      <c r="D188" s="65" t="str">
        <f t="shared" si="2"/>
        <v>Turks and Caicos IslandsPET</v>
      </c>
    </row>
    <row r="189" spans="1:4" x14ac:dyDescent="0.25">
      <c r="A189" s="65" t="s">
        <v>760</v>
      </c>
      <c r="B189" s="65" t="s">
        <v>10</v>
      </c>
      <c r="C189" s="66">
        <v>160.97999999999999</v>
      </c>
      <c r="D189" s="65" t="str">
        <f t="shared" si="2"/>
        <v>GuamPET</v>
      </c>
    </row>
    <row r="190" spans="1:4" x14ac:dyDescent="0.25">
      <c r="A190" s="65" t="s">
        <v>761</v>
      </c>
      <c r="B190" s="65" t="s">
        <v>10</v>
      </c>
      <c r="C190" s="66">
        <v>156.07</v>
      </c>
      <c r="D190" s="65" t="str">
        <f t="shared" si="2"/>
        <v>LiechtensteinPET</v>
      </c>
    </row>
    <row r="191" spans="1:4" x14ac:dyDescent="0.25">
      <c r="A191" s="65" t="s">
        <v>762</v>
      </c>
      <c r="B191" s="65" t="s">
        <v>10</v>
      </c>
      <c r="C191" s="66">
        <v>144.72</v>
      </c>
      <c r="D191" s="65" t="str">
        <f t="shared" si="2"/>
        <v>MonacoPET</v>
      </c>
    </row>
    <row r="192" spans="1:4" x14ac:dyDescent="0.25">
      <c r="A192" s="65" t="s">
        <v>763</v>
      </c>
      <c r="B192" s="65" t="s">
        <v>10</v>
      </c>
      <c r="C192" s="66">
        <v>127.11</v>
      </c>
      <c r="D192" s="65" t="str">
        <f t="shared" si="2"/>
        <v>Cabo VerdePET</v>
      </c>
    </row>
    <row r="193" spans="1:4" x14ac:dyDescent="0.25">
      <c r="A193" s="65" t="s">
        <v>764</v>
      </c>
      <c r="B193" s="65" t="s">
        <v>10</v>
      </c>
      <c r="C193" s="66">
        <v>123.43</v>
      </c>
      <c r="D193" s="65" t="str">
        <f t="shared" si="2"/>
        <v>Western SaharaPET</v>
      </c>
    </row>
    <row r="194" spans="1:4" x14ac:dyDescent="0.25">
      <c r="A194" s="65" t="s">
        <v>765</v>
      </c>
      <c r="B194" s="65" t="s">
        <v>10</v>
      </c>
      <c r="C194" s="66">
        <v>104.73</v>
      </c>
      <c r="D194" s="65" t="str">
        <f t="shared" si="2"/>
        <v>Cayman IslandsPET</v>
      </c>
    </row>
    <row r="195" spans="1:4" x14ac:dyDescent="0.25">
      <c r="A195" s="65" t="s">
        <v>766</v>
      </c>
      <c r="B195" s="65" t="s">
        <v>10</v>
      </c>
      <c r="C195" s="66">
        <v>98.16</v>
      </c>
      <c r="D195" s="65" t="str">
        <f t="shared" ref="D195:D258" si="3">A195&amp;B195</f>
        <v>TongaPET</v>
      </c>
    </row>
    <row r="196" spans="1:4" x14ac:dyDescent="0.25">
      <c r="A196" s="65" t="s">
        <v>767</v>
      </c>
      <c r="B196" s="65" t="s">
        <v>10</v>
      </c>
      <c r="C196" s="66">
        <v>94.73</v>
      </c>
      <c r="D196" s="65" t="str">
        <f t="shared" si="3"/>
        <v>KiribatiPET</v>
      </c>
    </row>
    <row r="197" spans="1:4" x14ac:dyDescent="0.25">
      <c r="A197" s="65" t="s">
        <v>768</v>
      </c>
      <c r="B197" s="65" t="s">
        <v>10</v>
      </c>
      <c r="C197" s="66">
        <v>89.41</v>
      </c>
      <c r="D197" s="65" t="str">
        <f t="shared" si="3"/>
        <v>Micronesia, Fed. Sts.PET</v>
      </c>
    </row>
    <row r="198" spans="1:4" x14ac:dyDescent="0.25">
      <c r="A198" s="65" t="s">
        <v>769</v>
      </c>
      <c r="B198" s="65" t="s">
        <v>10</v>
      </c>
      <c r="C198" s="66">
        <v>47.05</v>
      </c>
      <c r="D198" s="65" t="str">
        <f t="shared" si="3"/>
        <v>Marshall IslandsPET</v>
      </c>
    </row>
    <row r="199" spans="1:4" x14ac:dyDescent="0.25">
      <c r="A199" s="65" t="s">
        <v>770</v>
      </c>
      <c r="B199" s="65" t="s">
        <v>10</v>
      </c>
      <c r="C199" s="66">
        <v>41.49</v>
      </c>
      <c r="D199" s="65" t="str">
        <f t="shared" si="3"/>
        <v>American SamoaPET</v>
      </c>
    </row>
    <row r="200" spans="1:4" x14ac:dyDescent="0.25">
      <c r="A200" s="65" t="s">
        <v>771</v>
      </c>
      <c r="B200" s="65" t="s">
        <v>10</v>
      </c>
      <c r="C200" s="66">
        <v>21.43</v>
      </c>
      <c r="D200" s="65" t="str">
        <f t="shared" si="3"/>
        <v>SeychellesPET</v>
      </c>
    </row>
    <row r="201" spans="1:4" x14ac:dyDescent="0.25">
      <c r="A201" s="65" t="s">
        <v>772</v>
      </c>
      <c r="B201" s="65" t="s">
        <v>10</v>
      </c>
      <c r="C201" s="66">
        <v>14.15</v>
      </c>
      <c r="D201" s="65" t="str">
        <f t="shared" si="3"/>
        <v>PalauPET</v>
      </c>
    </row>
    <row r="202" spans="1:4" x14ac:dyDescent="0.25">
      <c r="A202" s="65" t="s">
        <v>773</v>
      </c>
      <c r="B202" s="65" t="s">
        <v>10</v>
      </c>
      <c r="C202" s="66">
        <v>9.19</v>
      </c>
      <c r="D202" s="65" t="str">
        <f t="shared" si="3"/>
        <v>NauruPET</v>
      </c>
    </row>
    <row r="203" spans="1:4" x14ac:dyDescent="0.25">
      <c r="A203" s="65" t="s">
        <v>45</v>
      </c>
      <c r="B203" s="65" t="s">
        <v>8</v>
      </c>
      <c r="C203" s="66">
        <v>34399383.329999998</v>
      </c>
      <c r="D203" s="65" t="str">
        <f t="shared" si="3"/>
        <v>ChinaGlass</v>
      </c>
    </row>
    <row r="204" spans="1:4" x14ac:dyDescent="0.25">
      <c r="A204" s="67" t="s">
        <v>346</v>
      </c>
      <c r="B204" s="65" t="s">
        <v>8</v>
      </c>
      <c r="C204" s="66">
        <v>11863396.02</v>
      </c>
      <c r="D204" s="65" t="str">
        <f t="shared" si="3"/>
        <v>United StatesGlass</v>
      </c>
    </row>
    <row r="205" spans="1:4" x14ac:dyDescent="0.25">
      <c r="A205" s="65" t="s">
        <v>144</v>
      </c>
      <c r="B205" s="65" t="s">
        <v>8</v>
      </c>
      <c r="C205" s="66">
        <v>6742763.29</v>
      </c>
      <c r="D205" s="65" t="str">
        <f t="shared" si="3"/>
        <v>IndiaGlass</v>
      </c>
    </row>
    <row r="206" spans="1:4" x14ac:dyDescent="0.25">
      <c r="A206" s="65" t="s">
        <v>242</v>
      </c>
      <c r="B206" s="65" t="s">
        <v>8</v>
      </c>
      <c r="C206" s="66">
        <v>7268638.79</v>
      </c>
      <c r="D206" s="65" t="str">
        <f t="shared" si="3"/>
        <v>MexicoGlass</v>
      </c>
    </row>
    <row r="207" spans="1:4" x14ac:dyDescent="0.25">
      <c r="A207" s="67" t="s">
        <v>65</v>
      </c>
      <c r="B207" s="65" t="s">
        <v>8</v>
      </c>
      <c r="C207" s="66">
        <v>2494867.8199999998</v>
      </c>
      <c r="D207" s="65" t="str">
        <f t="shared" si="3"/>
        <v>JapanGlass</v>
      </c>
    </row>
    <row r="208" spans="1:4" x14ac:dyDescent="0.25">
      <c r="A208" s="67" t="s">
        <v>112</v>
      </c>
      <c r="B208" s="65" t="s">
        <v>8</v>
      </c>
      <c r="C208" s="66">
        <v>10724545.92</v>
      </c>
      <c r="D208" s="65" t="str">
        <f t="shared" si="3"/>
        <v>GermanyGlass</v>
      </c>
    </row>
    <row r="209" spans="1:4" x14ac:dyDescent="0.25">
      <c r="A209" s="67" t="s">
        <v>60</v>
      </c>
      <c r="B209" s="65" t="s">
        <v>8</v>
      </c>
      <c r="C209" s="66">
        <v>8052910.3600000003</v>
      </c>
      <c r="D209" s="65" t="str">
        <f t="shared" si="3"/>
        <v>BrazilGlass</v>
      </c>
    </row>
    <row r="210" spans="1:4" x14ac:dyDescent="0.25">
      <c r="A210" s="67" t="s">
        <v>218</v>
      </c>
      <c r="B210" s="65" t="s">
        <v>8</v>
      </c>
      <c r="C210" s="66">
        <v>4398264.59</v>
      </c>
      <c r="D210" s="65" t="str">
        <f t="shared" si="3"/>
        <v>ItalyGlass</v>
      </c>
    </row>
    <row r="211" spans="1:4" x14ac:dyDescent="0.25">
      <c r="A211" s="65" t="s">
        <v>327</v>
      </c>
      <c r="B211" s="65" t="s">
        <v>8</v>
      </c>
      <c r="C211" s="66">
        <v>3961599.85</v>
      </c>
      <c r="D211" s="65" t="str">
        <f t="shared" si="3"/>
        <v>RussiaGlass</v>
      </c>
    </row>
    <row r="212" spans="1:4" x14ac:dyDescent="0.25">
      <c r="A212" s="67" t="s">
        <v>113</v>
      </c>
      <c r="B212" s="65" t="s">
        <v>8</v>
      </c>
      <c r="C212" s="66">
        <v>3528934.18</v>
      </c>
      <c r="D212" s="65" t="str">
        <f t="shared" si="3"/>
        <v>FranceGlass</v>
      </c>
    </row>
    <row r="213" spans="1:4" x14ac:dyDescent="0.25">
      <c r="A213" s="65" t="s">
        <v>339</v>
      </c>
      <c r="B213" s="65" t="s">
        <v>8</v>
      </c>
      <c r="C213" s="66">
        <v>3230720.85</v>
      </c>
      <c r="D213" s="65" t="str">
        <f t="shared" si="3"/>
        <v>ThailandGlass</v>
      </c>
    </row>
    <row r="214" spans="1:4" x14ac:dyDescent="0.25">
      <c r="A214" s="65" t="s">
        <v>307</v>
      </c>
      <c r="B214" s="65" t="s">
        <v>8</v>
      </c>
      <c r="C214" s="66">
        <v>299912.69</v>
      </c>
      <c r="D214" s="65" t="str">
        <f t="shared" si="3"/>
        <v>IndonesiaGlass</v>
      </c>
    </row>
    <row r="215" spans="1:4" x14ac:dyDescent="0.25">
      <c r="A215" s="67" t="s">
        <v>233</v>
      </c>
      <c r="B215" s="65" t="s">
        <v>8</v>
      </c>
      <c r="C215" s="66">
        <v>3017716.39</v>
      </c>
      <c r="D215" s="65" t="str">
        <f t="shared" si="3"/>
        <v>United KingdomGlass</v>
      </c>
    </row>
    <row r="216" spans="1:4" x14ac:dyDescent="0.25">
      <c r="A216" s="67" t="s">
        <v>229</v>
      </c>
      <c r="B216" s="65" t="s">
        <v>8</v>
      </c>
      <c r="C216" s="66">
        <v>3107311.27</v>
      </c>
      <c r="D216" s="65" t="str">
        <f t="shared" si="3"/>
        <v>SpainGlass</v>
      </c>
    </row>
    <row r="217" spans="1:4" x14ac:dyDescent="0.25">
      <c r="A217" s="65" t="s">
        <v>341</v>
      </c>
      <c r="B217" s="65" t="s">
        <v>8</v>
      </c>
      <c r="C217" s="66">
        <v>1349476.82</v>
      </c>
      <c r="D217" s="65" t="str">
        <f t="shared" si="3"/>
        <v>TurkiyeGlass</v>
      </c>
    </row>
    <row r="218" spans="1:4" x14ac:dyDescent="0.25">
      <c r="A218" s="67" t="s">
        <v>224</v>
      </c>
      <c r="B218" s="65" t="s">
        <v>8</v>
      </c>
      <c r="C218" s="66">
        <v>2455061.61</v>
      </c>
      <c r="D218" s="65" t="str">
        <f t="shared" si="3"/>
        <v>PolandGlass</v>
      </c>
    </row>
    <row r="219" spans="1:4" x14ac:dyDescent="0.25">
      <c r="A219" s="65" t="s">
        <v>324</v>
      </c>
      <c r="B219" s="65" t="s">
        <v>8</v>
      </c>
      <c r="C219" s="66">
        <v>2510379.8199999998</v>
      </c>
      <c r="D219" s="65" t="str">
        <f t="shared" si="3"/>
        <v>NigeriaGlass</v>
      </c>
    </row>
    <row r="220" spans="1:4" x14ac:dyDescent="0.25">
      <c r="A220" s="65" t="s">
        <v>286</v>
      </c>
      <c r="B220" s="65" t="s">
        <v>8</v>
      </c>
      <c r="C220" s="66">
        <v>2235971.9700000002</v>
      </c>
      <c r="D220" s="65" t="str">
        <f t="shared" si="3"/>
        <v>ArgentinaGlass</v>
      </c>
    </row>
    <row r="221" spans="1:4" x14ac:dyDescent="0.25">
      <c r="A221" s="65" t="s">
        <v>137</v>
      </c>
      <c r="B221" s="65" t="s">
        <v>8</v>
      </c>
      <c r="C221" s="66">
        <v>1200420.6200000001</v>
      </c>
      <c r="D221" s="65" t="str">
        <f t="shared" si="3"/>
        <v>CanadaGlass</v>
      </c>
    </row>
    <row r="222" spans="1:4" x14ac:dyDescent="0.25">
      <c r="A222" s="65" t="s">
        <v>311</v>
      </c>
      <c r="B222" s="65" t="s">
        <v>8</v>
      </c>
      <c r="C222" s="66">
        <v>107942.05</v>
      </c>
      <c r="D222" s="65" t="str">
        <f t="shared" si="3"/>
        <v>IraqGlass</v>
      </c>
    </row>
    <row r="223" spans="1:4" x14ac:dyDescent="0.25">
      <c r="A223" s="65" t="s">
        <v>329</v>
      </c>
      <c r="B223" s="65" t="s">
        <v>8</v>
      </c>
      <c r="C223" s="66">
        <v>313848.64</v>
      </c>
      <c r="D223" s="65" t="str">
        <f t="shared" si="3"/>
        <v>Saudi ArabiaGlass</v>
      </c>
    </row>
    <row r="224" spans="1:4" x14ac:dyDescent="0.25">
      <c r="A224" s="65" t="s">
        <v>154</v>
      </c>
      <c r="B224" s="65" t="s">
        <v>8</v>
      </c>
      <c r="C224" s="66">
        <v>765115.9</v>
      </c>
      <c r="D224" s="65" t="str">
        <f t="shared" si="3"/>
        <v>PakistanGlass</v>
      </c>
    </row>
    <row r="225" spans="1:4" x14ac:dyDescent="0.25">
      <c r="A225" s="65" t="s">
        <v>334</v>
      </c>
      <c r="B225" s="65" t="s">
        <v>8</v>
      </c>
      <c r="C225" s="66">
        <v>1231576.52</v>
      </c>
      <c r="D225" s="65" t="str">
        <f t="shared" si="3"/>
        <v>South KoreaGlass</v>
      </c>
    </row>
    <row r="226" spans="1:4" x14ac:dyDescent="0.25">
      <c r="A226" s="65" t="s">
        <v>279</v>
      </c>
      <c r="B226" s="65" t="s">
        <v>8</v>
      </c>
      <c r="C226" s="66">
        <v>466568.47</v>
      </c>
      <c r="D226" s="65" t="str">
        <f t="shared" si="3"/>
        <v>AlgeriaGlass</v>
      </c>
    </row>
    <row r="227" spans="1:4" x14ac:dyDescent="0.25">
      <c r="A227" s="65" t="s">
        <v>326</v>
      </c>
      <c r="B227" s="65" t="s">
        <v>8</v>
      </c>
      <c r="C227" s="66">
        <v>4143898.86</v>
      </c>
      <c r="D227" s="65" t="str">
        <f t="shared" si="3"/>
        <v>PhilippinesGlass</v>
      </c>
    </row>
    <row r="228" spans="1:4" x14ac:dyDescent="0.25">
      <c r="A228" s="65" t="s">
        <v>348</v>
      </c>
      <c r="B228" s="65" t="s">
        <v>8</v>
      </c>
      <c r="C228" s="66">
        <v>1800123.39</v>
      </c>
      <c r="D228" s="65" t="str">
        <f t="shared" si="3"/>
        <v>VietnamGlass</v>
      </c>
    </row>
    <row r="229" spans="1:4" x14ac:dyDescent="0.25">
      <c r="A229" s="65" t="s">
        <v>72</v>
      </c>
      <c r="B229" s="65" t="s">
        <v>8</v>
      </c>
      <c r="C229" s="66">
        <v>3781840.39</v>
      </c>
      <c r="D229" s="65" t="str">
        <f t="shared" si="3"/>
        <v>South AfricaGlass</v>
      </c>
    </row>
    <row r="230" spans="1:4" x14ac:dyDescent="0.25">
      <c r="A230" s="65" t="s">
        <v>300</v>
      </c>
      <c r="B230" s="65" t="s">
        <v>8</v>
      </c>
      <c r="C230" s="66">
        <v>2717915.84</v>
      </c>
      <c r="D230" s="65" t="str">
        <f t="shared" si="3"/>
        <v>ColombiaGlass</v>
      </c>
    </row>
    <row r="231" spans="1:4" x14ac:dyDescent="0.25">
      <c r="A231" s="67" t="s">
        <v>226</v>
      </c>
      <c r="B231" s="65" t="s">
        <v>8</v>
      </c>
      <c r="C231" s="66">
        <v>888467.75</v>
      </c>
      <c r="D231" s="65" t="str">
        <f t="shared" si="3"/>
        <v>RomaniaGlass</v>
      </c>
    </row>
    <row r="232" spans="1:4" x14ac:dyDescent="0.25">
      <c r="A232" s="65" t="s">
        <v>308</v>
      </c>
      <c r="B232" s="65" t="s">
        <v>8</v>
      </c>
      <c r="C232" s="66">
        <v>296996.03999999998</v>
      </c>
      <c r="D232" s="65" t="str">
        <f t="shared" si="3"/>
        <v>IranGlass</v>
      </c>
    </row>
    <row r="233" spans="1:4" x14ac:dyDescent="0.25">
      <c r="A233" s="65" t="s">
        <v>301</v>
      </c>
      <c r="B233" s="65" t="s">
        <v>8</v>
      </c>
      <c r="C233" s="66">
        <v>315038.46999999997</v>
      </c>
      <c r="D233" s="65" t="str">
        <f t="shared" si="3"/>
        <v>EgyptGlass</v>
      </c>
    </row>
    <row r="234" spans="1:4" x14ac:dyDescent="0.25">
      <c r="A234" s="65" t="s">
        <v>325</v>
      </c>
      <c r="B234" s="65" t="s">
        <v>8</v>
      </c>
      <c r="C234" s="66">
        <v>1501457.81</v>
      </c>
      <c r="D234" s="65" t="str">
        <f t="shared" si="3"/>
        <v>PeruGlass</v>
      </c>
    </row>
    <row r="235" spans="1:4" x14ac:dyDescent="0.25">
      <c r="A235" s="65" t="s">
        <v>337</v>
      </c>
      <c r="B235" s="65" t="s">
        <v>8</v>
      </c>
      <c r="C235" s="66">
        <v>300851.06</v>
      </c>
      <c r="D235" s="65" t="str">
        <f t="shared" si="3"/>
        <v>TaiwanGlass</v>
      </c>
    </row>
    <row r="236" spans="1:4" x14ac:dyDescent="0.25">
      <c r="A236" s="65" t="s">
        <v>318</v>
      </c>
      <c r="B236" s="65" t="s">
        <v>8</v>
      </c>
      <c r="C236" s="66">
        <v>414610.71</v>
      </c>
      <c r="D236" s="65" t="str">
        <f t="shared" si="3"/>
        <v>KazakhstanGlass</v>
      </c>
    </row>
    <row r="237" spans="1:4" x14ac:dyDescent="0.25">
      <c r="A237" s="65" t="s">
        <v>636</v>
      </c>
      <c r="B237" s="65" t="s">
        <v>8</v>
      </c>
      <c r="C237" s="66">
        <v>720825.12</v>
      </c>
      <c r="D237" s="65" t="str">
        <f t="shared" si="3"/>
        <v>UkraineGlass</v>
      </c>
    </row>
    <row r="238" spans="1:4" x14ac:dyDescent="0.25">
      <c r="A238" s="65" t="s">
        <v>161</v>
      </c>
      <c r="B238" s="65" t="s">
        <v>8</v>
      </c>
      <c r="C238" s="66">
        <v>1783903.54</v>
      </c>
      <c r="D238" s="65" t="str">
        <f t="shared" si="3"/>
        <v>AustraliaGlass</v>
      </c>
    </row>
    <row r="239" spans="1:4" x14ac:dyDescent="0.25">
      <c r="A239" s="65" t="s">
        <v>637</v>
      </c>
      <c r="B239" s="65" t="s">
        <v>8</v>
      </c>
      <c r="C239" s="66">
        <v>346237.37</v>
      </c>
      <c r="D239" s="65" t="str">
        <f t="shared" si="3"/>
        <v>UzbekistanGlass</v>
      </c>
    </row>
    <row r="240" spans="1:4" x14ac:dyDescent="0.25">
      <c r="A240" s="65" t="s">
        <v>638</v>
      </c>
      <c r="B240" s="65" t="s">
        <v>8</v>
      </c>
      <c r="C240" s="66">
        <v>3099.82</v>
      </c>
      <c r="D240" s="65" t="str">
        <f t="shared" si="3"/>
        <v>BangladeshGlass</v>
      </c>
    </row>
    <row r="241" spans="1:4" x14ac:dyDescent="0.25">
      <c r="A241" s="67" t="s">
        <v>216</v>
      </c>
      <c r="B241" s="65" t="s">
        <v>8</v>
      </c>
      <c r="C241" s="66">
        <v>383906.1</v>
      </c>
      <c r="D241" s="65" t="str">
        <f t="shared" si="3"/>
        <v>HungaryGlass</v>
      </c>
    </row>
    <row r="242" spans="1:4" x14ac:dyDescent="0.25">
      <c r="A242" s="67" t="s">
        <v>207</v>
      </c>
      <c r="B242" s="65" t="s">
        <v>8</v>
      </c>
      <c r="C242" s="66">
        <v>689092.29</v>
      </c>
      <c r="D242" s="65" t="str">
        <f t="shared" si="3"/>
        <v>BelgiumGlass</v>
      </c>
    </row>
    <row r="243" spans="1:4" x14ac:dyDescent="0.25">
      <c r="A243" s="65" t="s">
        <v>141</v>
      </c>
      <c r="B243" s="65" t="s">
        <v>8</v>
      </c>
      <c r="C243" s="66">
        <v>872194.69</v>
      </c>
      <c r="D243" s="65" t="str">
        <f t="shared" si="3"/>
        <v>ChileGlass</v>
      </c>
    </row>
    <row r="244" spans="1:4" x14ac:dyDescent="0.25">
      <c r="A244" s="65" t="s">
        <v>345</v>
      </c>
      <c r="B244" s="65" t="s">
        <v>8</v>
      </c>
      <c r="C244" s="66">
        <v>135889.5</v>
      </c>
      <c r="D244" s="65" t="str">
        <f t="shared" si="3"/>
        <v>United Arab EmiratesGlass</v>
      </c>
    </row>
    <row r="245" spans="1:4" x14ac:dyDescent="0.25">
      <c r="A245" s="65" t="s">
        <v>639</v>
      </c>
      <c r="B245" s="65" t="s">
        <v>8</v>
      </c>
      <c r="C245" s="66">
        <v>197447.96</v>
      </c>
      <c r="D245" s="65" t="str">
        <f t="shared" si="3"/>
        <v>TunisiaGlass</v>
      </c>
    </row>
    <row r="246" spans="1:4" x14ac:dyDescent="0.25">
      <c r="A246" s="67" t="s">
        <v>215</v>
      </c>
      <c r="B246" s="65" t="s">
        <v>8</v>
      </c>
      <c r="C246" s="66">
        <v>366021.11</v>
      </c>
      <c r="D246" s="65" t="str">
        <f t="shared" si="3"/>
        <v>GreeceGlass</v>
      </c>
    </row>
    <row r="247" spans="1:4" x14ac:dyDescent="0.25">
      <c r="A247" s="65" t="s">
        <v>640</v>
      </c>
      <c r="B247" s="65" t="s">
        <v>8</v>
      </c>
      <c r="C247" s="66">
        <v>244612.86</v>
      </c>
      <c r="D247" s="65" t="str">
        <f t="shared" si="3"/>
        <v>GhanaGlass</v>
      </c>
    </row>
    <row r="248" spans="1:4" x14ac:dyDescent="0.25">
      <c r="A248" s="65" t="s">
        <v>641</v>
      </c>
      <c r="B248" s="65" t="s">
        <v>8</v>
      </c>
      <c r="C248" s="66">
        <v>89805.89</v>
      </c>
      <c r="D248" s="65" t="str">
        <f t="shared" si="3"/>
        <v>Yemen, Rep.Glass</v>
      </c>
    </row>
    <row r="249" spans="1:4" x14ac:dyDescent="0.25">
      <c r="A249" s="65" t="s">
        <v>642</v>
      </c>
      <c r="B249" s="65" t="s">
        <v>8</v>
      </c>
      <c r="C249" s="66">
        <v>212767.88</v>
      </c>
      <c r="D249" s="65" t="str">
        <f t="shared" si="3"/>
        <v>MoroccoGlass</v>
      </c>
    </row>
    <row r="250" spans="1:4" x14ac:dyDescent="0.25">
      <c r="A250" s="65" t="s">
        <v>643</v>
      </c>
      <c r="B250" s="65" t="s">
        <v>8</v>
      </c>
      <c r="C250" s="66">
        <v>587267.66</v>
      </c>
      <c r="D250" s="65" t="str">
        <f t="shared" si="3"/>
        <v>EcuadorGlass</v>
      </c>
    </row>
    <row r="251" spans="1:4" x14ac:dyDescent="0.25">
      <c r="A251" s="67" t="s">
        <v>211</v>
      </c>
      <c r="B251" s="65" t="s">
        <v>8</v>
      </c>
      <c r="C251" s="66">
        <v>774959.05</v>
      </c>
      <c r="D251" s="65" t="str">
        <f t="shared" si="3"/>
        <v>Czech RepublicGlass</v>
      </c>
    </row>
    <row r="252" spans="1:4" x14ac:dyDescent="0.25">
      <c r="A252" s="67" t="s">
        <v>225</v>
      </c>
      <c r="B252" s="65" t="s">
        <v>8</v>
      </c>
      <c r="C252" s="66">
        <v>956334.7</v>
      </c>
      <c r="D252" s="65" t="str">
        <f t="shared" si="3"/>
        <v>PortugalGlass</v>
      </c>
    </row>
    <row r="253" spans="1:4" x14ac:dyDescent="0.25">
      <c r="A253" s="67" t="s">
        <v>232</v>
      </c>
      <c r="B253" s="65" t="s">
        <v>8</v>
      </c>
      <c r="C253" s="66">
        <v>478433.04</v>
      </c>
      <c r="D253" s="65" t="str">
        <f t="shared" si="3"/>
        <v>SwitzerlandGlass</v>
      </c>
    </row>
    <row r="254" spans="1:4" x14ac:dyDescent="0.25">
      <c r="A254" s="67" t="s">
        <v>223</v>
      </c>
      <c r="B254" s="65" t="s">
        <v>8</v>
      </c>
      <c r="C254" s="66">
        <v>984542.61</v>
      </c>
      <c r="D254" s="65" t="str">
        <f t="shared" si="3"/>
        <v>NetherlandsGlass</v>
      </c>
    </row>
    <row r="255" spans="1:4" x14ac:dyDescent="0.25">
      <c r="A255" s="65" t="s">
        <v>321</v>
      </c>
      <c r="B255" s="65" t="s">
        <v>8</v>
      </c>
      <c r="C255" s="66">
        <v>140424.37</v>
      </c>
      <c r="D255" s="65" t="str">
        <f t="shared" si="3"/>
        <v>MalaysiaGlass</v>
      </c>
    </row>
    <row r="256" spans="1:4" x14ac:dyDescent="0.25">
      <c r="A256" s="65" t="s">
        <v>644</v>
      </c>
      <c r="B256" s="65" t="s">
        <v>8</v>
      </c>
      <c r="C256" s="66">
        <v>199686.9</v>
      </c>
      <c r="D256" s="65" t="str">
        <f t="shared" si="3"/>
        <v>NepalGlass</v>
      </c>
    </row>
    <row r="257" spans="1:4" x14ac:dyDescent="0.25">
      <c r="A257" s="65" t="s">
        <v>645</v>
      </c>
      <c r="B257" s="65" t="s">
        <v>8</v>
      </c>
      <c r="C257" s="66">
        <v>469183.85</v>
      </c>
      <c r="D257" s="65" t="str">
        <f t="shared" si="3"/>
        <v>GuatemalaGlass</v>
      </c>
    </row>
    <row r="258" spans="1:4" x14ac:dyDescent="0.25">
      <c r="A258" s="67" t="s">
        <v>208</v>
      </c>
      <c r="B258" s="65" t="s">
        <v>8</v>
      </c>
      <c r="C258" s="66">
        <v>277649.01</v>
      </c>
      <c r="D258" s="65" t="str">
        <f t="shared" si="3"/>
        <v>BulgariaGlass</v>
      </c>
    </row>
    <row r="259" spans="1:4" x14ac:dyDescent="0.25">
      <c r="A259" s="67" t="s">
        <v>206</v>
      </c>
      <c r="B259" s="65" t="s">
        <v>8</v>
      </c>
      <c r="C259" s="66">
        <v>780946.81</v>
      </c>
      <c r="D259" s="65" t="str">
        <f t="shared" ref="D259:D322" si="4">A259&amp;B259</f>
        <v>AustriaGlass</v>
      </c>
    </row>
    <row r="260" spans="1:4" x14ac:dyDescent="0.25">
      <c r="A260" s="65" t="s">
        <v>313</v>
      </c>
      <c r="B260" s="65" t="s">
        <v>8</v>
      </c>
      <c r="C260" s="66">
        <v>270665.03999999998</v>
      </c>
      <c r="D260" s="65" t="str">
        <f t="shared" si="4"/>
        <v>IsraelGlass</v>
      </c>
    </row>
    <row r="261" spans="1:4" x14ac:dyDescent="0.25">
      <c r="A261" s="65" t="s">
        <v>646</v>
      </c>
      <c r="B261" s="65" t="s">
        <v>8</v>
      </c>
      <c r="C261" s="66">
        <v>294456.21999999997</v>
      </c>
      <c r="D261" s="65" t="str">
        <f t="shared" si="4"/>
        <v>SerbiaGlass</v>
      </c>
    </row>
    <row r="262" spans="1:4" x14ac:dyDescent="0.25">
      <c r="A262" s="65" t="s">
        <v>647</v>
      </c>
      <c r="B262" s="65" t="s">
        <v>8</v>
      </c>
      <c r="C262" s="66">
        <v>551082.68000000005</v>
      </c>
      <c r="D262" s="65" t="str">
        <f t="shared" si="4"/>
        <v>Dominican RepublicGlass</v>
      </c>
    </row>
    <row r="263" spans="1:4" x14ac:dyDescent="0.25">
      <c r="A263" s="65" t="s">
        <v>648</v>
      </c>
      <c r="B263" s="65" t="s">
        <v>8</v>
      </c>
      <c r="C263" s="66">
        <v>373850.75</v>
      </c>
      <c r="D263" s="65" t="str">
        <f t="shared" si="4"/>
        <v>BoliviaGlass</v>
      </c>
    </row>
    <row r="264" spans="1:4" x14ac:dyDescent="0.25">
      <c r="A264" s="65" t="s">
        <v>649</v>
      </c>
      <c r="B264" s="65" t="s">
        <v>8</v>
      </c>
      <c r="C264" s="66">
        <v>348180.07</v>
      </c>
      <c r="D264" s="65" t="str">
        <f t="shared" si="4"/>
        <v>HondurasGlass</v>
      </c>
    </row>
    <row r="265" spans="1:4" x14ac:dyDescent="0.25">
      <c r="A265" s="65" t="s">
        <v>650</v>
      </c>
      <c r="B265" s="65" t="s">
        <v>8</v>
      </c>
      <c r="C265" s="66">
        <v>212131.11</v>
      </c>
      <c r="D265" s="65" t="str">
        <f t="shared" si="4"/>
        <v>BelarusGlass</v>
      </c>
    </row>
    <row r="266" spans="1:4" x14ac:dyDescent="0.25">
      <c r="A266" s="65" t="s">
        <v>651</v>
      </c>
      <c r="B266" s="65" t="s">
        <v>8</v>
      </c>
      <c r="C266" s="66">
        <v>676012.42</v>
      </c>
      <c r="D266" s="65" t="str">
        <f t="shared" si="4"/>
        <v>KenyaGlass</v>
      </c>
    </row>
    <row r="267" spans="1:4" x14ac:dyDescent="0.25">
      <c r="A267" s="65" t="s">
        <v>652</v>
      </c>
      <c r="B267" s="65" t="s">
        <v>8</v>
      </c>
      <c r="C267" s="66">
        <v>610085.94999999995</v>
      </c>
      <c r="D267" s="65" t="str">
        <f t="shared" si="4"/>
        <v>TanzaniaGlass</v>
      </c>
    </row>
    <row r="268" spans="1:4" x14ac:dyDescent="0.25">
      <c r="A268" s="65" t="s">
        <v>291</v>
      </c>
      <c r="B268" s="65" t="s">
        <v>8</v>
      </c>
      <c r="C268" s="66">
        <v>271741.74</v>
      </c>
      <c r="D268" s="65" t="str">
        <f t="shared" si="4"/>
        <v>CambodiaGlass</v>
      </c>
    </row>
    <row r="269" spans="1:4" x14ac:dyDescent="0.25">
      <c r="A269" s="65" t="s">
        <v>653</v>
      </c>
      <c r="B269" s="65" t="s">
        <v>8</v>
      </c>
      <c r="C269" s="66">
        <v>429744.49</v>
      </c>
      <c r="D269" s="65" t="str">
        <f t="shared" si="4"/>
        <v>UgandaGlass</v>
      </c>
    </row>
    <row r="270" spans="1:4" x14ac:dyDescent="0.25">
      <c r="A270" s="67" t="s">
        <v>230</v>
      </c>
      <c r="B270" s="65" t="s">
        <v>8</v>
      </c>
      <c r="C270" s="66">
        <v>289972.07</v>
      </c>
      <c r="D270" s="65" t="str">
        <f t="shared" si="4"/>
        <v>SwedenGlass</v>
      </c>
    </row>
    <row r="271" spans="1:4" x14ac:dyDescent="0.25">
      <c r="A271" s="67" t="s">
        <v>654</v>
      </c>
      <c r="B271" s="65" t="s">
        <v>8</v>
      </c>
      <c r="C271" s="66">
        <v>93323.78</v>
      </c>
      <c r="D271" s="65" t="str">
        <f t="shared" si="4"/>
        <v>Slovak RepublicGlass</v>
      </c>
    </row>
    <row r="272" spans="1:4" x14ac:dyDescent="0.25">
      <c r="A272" s="65" t="s">
        <v>655</v>
      </c>
      <c r="B272" s="65" t="s">
        <v>8</v>
      </c>
      <c r="C272" s="66">
        <v>63547.25</v>
      </c>
      <c r="D272" s="65" t="str">
        <f t="shared" si="4"/>
        <v>KuwaitGlass</v>
      </c>
    </row>
    <row r="273" spans="1:4" x14ac:dyDescent="0.25">
      <c r="A273" s="65" t="s">
        <v>656</v>
      </c>
      <c r="B273" s="65" t="s">
        <v>8</v>
      </c>
      <c r="C273" s="66">
        <v>61040.63</v>
      </c>
      <c r="D273" s="65" t="str">
        <f t="shared" si="4"/>
        <v>AzerbaijanGlass</v>
      </c>
    </row>
    <row r="274" spans="1:4" x14ac:dyDescent="0.25">
      <c r="A274" s="65" t="s">
        <v>657</v>
      </c>
      <c r="B274" s="65" t="s">
        <v>8</v>
      </c>
      <c r="C274" s="66">
        <v>572826.17000000004</v>
      </c>
      <c r="D274" s="65" t="str">
        <f t="shared" si="4"/>
        <v>AngolaGlass</v>
      </c>
    </row>
    <row r="275" spans="1:4" x14ac:dyDescent="0.25">
      <c r="A275" s="65" t="s">
        <v>658</v>
      </c>
      <c r="B275" s="65" t="s">
        <v>8</v>
      </c>
      <c r="C275" s="66">
        <v>134453.67000000001</v>
      </c>
      <c r="D275" s="65" t="str">
        <f t="shared" si="4"/>
        <v>Congo, Dem. Rep.Glass</v>
      </c>
    </row>
    <row r="276" spans="1:4" x14ac:dyDescent="0.25">
      <c r="A276" s="65" t="s">
        <v>659</v>
      </c>
      <c r="B276" s="65" t="s">
        <v>8</v>
      </c>
      <c r="C276" s="66">
        <v>65097.49</v>
      </c>
      <c r="D276" s="65" t="str">
        <f t="shared" si="4"/>
        <v>JordanGlass</v>
      </c>
    </row>
    <row r="277" spans="1:4" x14ac:dyDescent="0.25">
      <c r="A277" s="65" t="s">
        <v>660</v>
      </c>
      <c r="B277" s="65" t="s">
        <v>8</v>
      </c>
      <c r="C277" s="66">
        <v>83871.009999999995</v>
      </c>
      <c r="D277" s="65" t="str">
        <f t="shared" si="4"/>
        <v>Hong KongGlass</v>
      </c>
    </row>
    <row r="278" spans="1:4" x14ac:dyDescent="0.25">
      <c r="A278" s="67" t="s">
        <v>217</v>
      </c>
      <c r="B278" s="65" t="s">
        <v>8</v>
      </c>
      <c r="C278" s="66">
        <v>156466.85</v>
      </c>
      <c r="D278" s="65" t="str">
        <f t="shared" si="4"/>
        <v>Republic of IrelandGlass</v>
      </c>
    </row>
    <row r="279" spans="1:4" x14ac:dyDescent="0.25">
      <c r="A279" s="65" t="s">
        <v>661</v>
      </c>
      <c r="B279" s="65" t="s">
        <v>8</v>
      </c>
      <c r="C279" s="66">
        <v>24095.41</v>
      </c>
      <c r="D279" s="65" t="str">
        <f t="shared" si="4"/>
        <v>QatarGlass</v>
      </c>
    </row>
    <row r="280" spans="1:4" x14ac:dyDescent="0.25">
      <c r="A280" s="65" t="s">
        <v>662</v>
      </c>
      <c r="B280" s="65" t="s">
        <v>8</v>
      </c>
      <c r="C280" s="66">
        <v>164737.51</v>
      </c>
      <c r="D280" s="65" t="str">
        <f t="shared" si="4"/>
        <v>UruguayGlass</v>
      </c>
    </row>
    <row r="281" spans="1:4" x14ac:dyDescent="0.25">
      <c r="A281" s="67" t="s">
        <v>212</v>
      </c>
      <c r="B281" s="65" t="s">
        <v>8</v>
      </c>
      <c r="C281" s="66">
        <v>228521.48</v>
      </c>
      <c r="D281" s="65" t="str">
        <f t="shared" si="4"/>
        <v>DenmarkGlass</v>
      </c>
    </row>
    <row r="282" spans="1:4" x14ac:dyDescent="0.25">
      <c r="A282" s="67" t="s">
        <v>231</v>
      </c>
      <c r="B282" s="65" t="s">
        <v>8</v>
      </c>
      <c r="C282" s="66">
        <v>119172.17</v>
      </c>
      <c r="D282" s="65" t="str">
        <f t="shared" si="4"/>
        <v>NorwayGlass</v>
      </c>
    </row>
    <row r="283" spans="1:4" x14ac:dyDescent="0.25">
      <c r="A283" s="65" t="s">
        <v>663</v>
      </c>
      <c r="B283" s="65" t="s">
        <v>8</v>
      </c>
      <c r="C283" s="66">
        <v>39005.53</v>
      </c>
      <c r="D283" s="65" t="str">
        <f t="shared" si="4"/>
        <v>SudanGlass</v>
      </c>
    </row>
    <row r="284" spans="1:4" x14ac:dyDescent="0.25">
      <c r="A284" s="65" t="s">
        <v>664</v>
      </c>
      <c r="B284" s="65" t="s">
        <v>8</v>
      </c>
      <c r="C284" s="66">
        <v>148929.42000000001</v>
      </c>
      <c r="D284" s="65" t="str">
        <f t="shared" si="4"/>
        <v>GeorgiaGlass</v>
      </c>
    </row>
    <row r="285" spans="1:4" x14ac:dyDescent="0.25">
      <c r="A285" s="67" t="s">
        <v>209</v>
      </c>
      <c r="B285" s="65" t="s">
        <v>8</v>
      </c>
      <c r="C285" s="66">
        <v>307073.27</v>
      </c>
      <c r="D285" s="65" t="str">
        <f t="shared" si="4"/>
        <v>CroatiaGlass</v>
      </c>
    </row>
    <row r="286" spans="1:4" x14ac:dyDescent="0.25">
      <c r="A286" s="65" t="s">
        <v>665</v>
      </c>
      <c r="B286" s="65" t="s">
        <v>8</v>
      </c>
      <c r="C286" s="66">
        <v>45918.79</v>
      </c>
      <c r="D286" s="65" t="str">
        <f t="shared" si="4"/>
        <v>KyrgyzstanGlass</v>
      </c>
    </row>
    <row r="287" spans="1:4" x14ac:dyDescent="0.25">
      <c r="A287" s="65" t="s">
        <v>666</v>
      </c>
      <c r="B287" s="65" t="s">
        <v>8</v>
      </c>
      <c r="C287" s="66">
        <v>171935.76</v>
      </c>
      <c r="D287" s="65" t="str">
        <f t="shared" si="4"/>
        <v>Puerto RicoGlass</v>
      </c>
    </row>
    <row r="288" spans="1:4" x14ac:dyDescent="0.25">
      <c r="A288" s="65" t="s">
        <v>667</v>
      </c>
      <c r="B288" s="65" t="s">
        <v>8</v>
      </c>
      <c r="C288" s="66">
        <v>11528.54</v>
      </c>
      <c r="D288" s="65" t="str">
        <f t="shared" si="4"/>
        <v>OmanGlass</v>
      </c>
    </row>
    <row r="289" spans="1:4" x14ac:dyDescent="0.25">
      <c r="A289" s="65" t="s">
        <v>668</v>
      </c>
      <c r="B289" s="65" t="s">
        <v>8</v>
      </c>
      <c r="C289" s="66">
        <v>197221.66</v>
      </c>
      <c r="D289" s="65" t="str">
        <f t="shared" si="4"/>
        <v>El SalvadorGlass</v>
      </c>
    </row>
    <row r="290" spans="1:4" x14ac:dyDescent="0.25">
      <c r="A290" s="65" t="s">
        <v>669</v>
      </c>
      <c r="B290" s="65" t="s">
        <v>8</v>
      </c>
      <c r="C290" s="66">
        <v>355203.87</v>
      </c>
      <c r="D290" s="65" t="str">
        <f t="shared" si="4"/>
        <v>ParaguayGlass</v>
      </c>
    </row>
    <row r="291" spans="1:4" x14ac:dyDescent="0.25">
      <c r="A291" s="65" t="s">
        <v>670</v>
      </c>
      <c r="B291" s="65" t="s">
        <v>8</v>
      </c>
      <c r="C291" s="66">
        <v>519427.27</v>
      </c>
      <c r="D291" s="65" t="str">
        <f t="shared" si="4"/>
        <v>VenezuelaGlass</v>
      </c>
    </row>
    <row r="292" spans="1:4" x14ac:dyDescent="0.25">
      <c r="A292" s="65" t="s">
        <v>671</v>
      </c>
      <c r="B292" s="65" t="s">
        <v>8</v>
      </c>
      <c r="C292" s="66">
        <v>338630.88</v>
      </c>
      <c r="D292" s="65" t="str">
        <f t="shared" si="4"/>
        <v>New ZealandGlass</v>
      </c>
    </row>
    <row r="293" spans="1:4" x14ac:dyDescent="0.25">
      <c r="A293" s="65" t="s">
        <v>672</v>
      </c>
      <c r="B293" s="65" t="s">
        <v>8</v>
      </c>
      <c r="C293" s="66">
        <v>93734.11</v>
      </c>
      <c r="D293" s="65" t="str">
        <f t="shared" si="4"/>
        <v>LebanonGlass</v>
      </c>
    </row>
    <row r="294" spans="1:4" x14ac:dyDescent="0.25">
      <c r="A294" s="65" t="s">
        <v>303</v>
      </c>
      <c r="B294" s="65" t="s">
        <v>8</v>
      </c>
      <c r="C294" s="66">
        <v>1386684.53</v>
      </c>
      <c r="D294" s="65" t="str">
        <f t="shared" si="4"/>
        <v>EthiopiaGlass</v>
      </c>
    </row>
    <row r="295" spans="1:4" x14ac:dyDescent="0.25">
      <c r="A295" s="67" t="s">
        <v>214</v>
      </c>
      <c r="B295" s="65" t="s">
        <v>8</v>
      </c>
      <c r="C295" s="66">
        <v>94319.05</v>
      </c>
      <c r="D295" s="65" t="str">
        <f t="shared" si="4"/>
        <v>FinlandGlass</v>
      </c>
    </row>
    <row r="296" spans="1:4" x14ac:dyDescent="0.25">
      <c r="A296" s="65" t="s">
        <v>673</v>
      </c>
      <c r="B296" s="65" t="s">
        <v>8</v>
      </c>
      <c r="C296" s="66">
        <v>74362.44</v>
      </c>
      <c r="D296" s="65" t="str">
        <f t="shared" si="4"/>
        <v>JamaicaGlass</v>
      </c>
    </row>
    <row r="297" spans="1:4" x14ac:dyDescent="0.25">
      <c r="A297" s="65" t="s">
        <v>674</v>
      </c>
      <c r="B297" s="65" t="s">
        <v>8</v>
      </c>
      <c r="C297" s="66">
        <v>157229.18</v>
      </c>
      <c r="D297" s="65" t="str">
        <f t="shared" si="4"/>
        <v>Costa RicaGlass</v>
      </c>
    </row>
    <row r="298" spans="1:4" x14ac:dyDescent="0.25">
      <c r="A298" s="67" t="s">
        <v>220</v>
      </c>
      <c r="B298" s="65" t="s">
        <v>8</v>
      </c>
      <c r="C298" s="66">
        <v>86626.04</v>
      </c>
      <c r="D298" s="65" t="str">
        <f t="shared" si="4"/>
        <v>LithuaniaGlass</v>
      </c>
    </row>
    <row r="299" spans="1:4" x14ac:dyDescent="0.25">
      <c r="A299" s="65" t="s">
        <v>675</v>
      </c>
      <c r="B299" s="65" t="s">
        <v>8</v>
      </c>
      <c r="C299" s="66">
        <v>99644.99</v>
      </c>
      <c r="D299" s="65" t="str">
        <f t="shared" si="4"/>
        <v>SingaporeGlass</v>
      </c>
    </row>
    <row r="300" spans="1:4" x14ac:dyDescent="0.25">
      <c r="A300" s="65" t="s">
        <v>676</v>
      </c>
      <c r="B300" s="65" t="s">
        <v>8</v>
      </c>
      <c r="C300" s="66">
        <v>25360.34</v>
      </c>
      <c r="D300" s="65" t="str">
        <f t="shared" si="4"/>
        <v>TajikistanGlass</v>
      </c>
    </row>
    <row r="301" spans="1:4" x14ac:dyDescent="0.25">
      <c r="A301" s="65" t="s">
        <v>677</v>
      </c>
      <c r="B301" s="65" t="s">
        <v>8</v>
      </c>
      <c r="C301" s="66">
        <v>51916.55</v>
      </c>
      <c r="D301" s="65" t="str">
        <f t="shared" si="4"/>
        <v>Bosnia HerzegovinaGlass</v>
      </c>
    </row>
    <row r="302" spans="1:4" x14ac:dyDescent="0.25">
      <c r="A302" s="65" t="s">
        <v>678</v>
      </c>
      <c r="B302" s="65" t="s">
        <v>8</v>
      </c>
      <c r="C302" s="66">
        <v>186746.83</v>
      </c>
      <c r="D302" s="65" t="str">
        <f t="shared" si="4"/>
        <v>NicaraguaGlass</v>
      </c>
    </row>
    <row r="303" spans="1:4" x14ac:dyDescent="0.25">
      <c r="A303" s="65" t="s">
        <v>679</v>
      </c>
      <c r="B303" s="65" t="s">
        <v>8</v>
      </c>
      <c r="C303" s="66">
        <v>135998.88</v>
      </c>
      <c r="D303" s="65" t="str">
        <f t="shared" si="4"/>
        <v>LaosGlass</v>
      </c>
    </row>
    <row r="304" spans="1:4" x14ac:dyDescent="0.25">
      <c r="A304" s="65" t="s">
        <v>680</v>
      </c>
      <c r="B304" s="65" t="s">
        <v>8</v>
      </c>
      <c r="C304" s="66">
        <v>54464</v>
      </c>
      <c r="D304" s="65" t="str">
        <f t="shared" si="4"/>
        <v>North MacedoniaGlass</v>
      </c>
    </row>
    <row r="305" spans="1:4" x14ac:dyDescent="0.25">
      <c r="A305" s="65" t="s">
        <v>681</v>
      </c>
      <c r="B305" s="65" t="s">
        <v>8</v>
      </c>
      <c r="C305" s="66">
        <v>59466.92</v>
      </c>
      <c r="D305" s="65" t="str">
        <f t="shared" si="4"/>
        <v>Papua New GuineaGlass</v>
      </c>
    </row>
    <row r="306" spans="1:4" x14ac:dyDescent="0.25">
      <c r="A306" s="65" t="s">
        <v>682</v>
      </c>
      <c r="B306" s="65" t="s">
        <v>8</v>
      </c>
      <c r="C306" s="66">
        <v>232977.87</v>
      </c>
      <c r="D306" s="65" t="str">
        <f t="shared" si="4"/>
        <v>Sri LankaGlass</v>
      </c>
    </row>
    <row r="307" spans="1:4" x14ac:dyDescent="0.25">
      <c r="A307" s="65" t="s">
        <v>683</v>
      </c>
      <c r="B307" s="65" t="s">
        <v>8</v>
      </c>
      <c r="C307" s="66">
        <v>76129.39</v>
      </c>
      <c r="D307" s="65" t="str">
        <f t="shared" si="4"/>
        <v>HaitiGlass</v>
      </c>
    </row>
    <row r="308" spans="1:4" x14ac:dyDescent="0.25">
      <c r="A308" s="65" t="s">
        <v>684</v>
      </c>
      <c r="B308" s="65" t="s">
        <v>8</v>
      </c>
      <c r="C308" s="66">
        <v>96851.25</v>
      </c>
      <c r="D308" s="65" t="str">
        <f t="shared" si="4"/>
        <v>TurkmenistanGlass</v>
      </c>
    </row>
    <row r="309" spans="1:4" x14ac:dyDescent="0.25">
      <c r="A309" s="65" t="s">
        <v>685</v>
      </c>
      <c r="B309" s="65" t="s">
        <v>8</v>
      </c>
      <c r="C309" s="66">
        <v>318272.40999999997</v>
      </c>
      <c r="D309" s="65" t="str">
        <f t="shared" si="4"/>
        <v>PanamaGlass</v>
      </c>
    </row>
    <row r="310" spans="1:4" x14ac:dyDescent="0.25">
      <c r="A310" s="65" t="s">
        <v>686</v>
      </c>
      <c r="B310" s="65" t="s">
        <v>8</v>
      </c>
      <c r="C310" s="66">
        <v>256487.28</v>
      </c>
      <c r="D310" s="65" t="str">
        <f t="shared" si="4"/>
        <v>ZambiaGlass</v>
      </c>
    </row>
    <row r="311" spans="1:4" x14ac:dyDescent="0.25">
      <c r="A311" s="65" t="s">
        <v>687</v>
      </c>
      <c r="B311" s="65" t="s">
        <v>8</v>
      </c>
      <c r="C311" s="66">
        <v>20105.16</v>
      </c>
      <c r="D311" s="65" t="str">
        <f t="shared" si="4"/>
        <v>BahrainGlass</v>
      </c>
    </row>
    <row r="312" spans="1:4" x14ac:dyDescent="0.25">
      <c r="A312" s="65" t="s">
        <v>688</v>
      </c>
      <c r="B312" s="65" t="s">
        <v>8</v>
      </c>
      <c r="C312" s="66">
        <v>92514.6</v>
      </c>
      <c r="D312" s="65" t="str">
        <f t="shared" si="4"/>
        <v>MoldovaGlass</v>
      </c>
    </row>
    <row r="313" spans="1:4" x14ac:dyDescent="0.25">
      <c r="A313" s="67" t="s">
        <v>228</v>
      </c>
      <c r="B313" s="65" t="s">
        <v>8</v>
      </c>
      <c r="C313" s="66">
        <v>110793.97</v>
      </c>
      <c r="D313" s="65" t="str">
        <f t="shared" si="4"/>
        <v>SloveniaGlass</v>
      </c>
    </row>
    <row r="314" spans="1:4" x14ac:dyDescent="0.25">
      <c r="A314" s="65" t="s">
        <v>689</v>
      </c>
      <c r="B314" s="65" t="s">
        <v>8</v>
      </c>
      <c r="C314" s="66">
        <v>45959.79</v>
      </c>
      <c r="D314" s="65" t="str">
        <f t="shared" si="4"/>
        <v>KosovoGlass</v>
      </c>
    </row>
    <row r="315" spans="1:4" x14ac:dyDescent="0.25">
      <c r="A315" s="65" t="s">
        <v>690</v>
      </c>
      <c r="B315" s="65" t="s">
        <v>8</v>
      </c>
      <c r="C315" s="66">
        <v>61992.36</v>
      </c>
      <c r="D315" s="65" t="str">
        <f t="shared" si="4"/>
        <v>Trinidad and TobagoGlass</v>
      </c>
    </row>
    <row r="316" spans="1:4" x14ac:dyDescent="0.25">
      <c r="A316" s="67" t="s">
        <v>219</v>
      </c>
      <c r="B316" s="65" t="s">
        <v>8</v>
      </c>
      <c r="C316" s="66">
        <v>67773.95</v>
      </c>
      <c r="D316" s="65" t="str">
        <f t="shared" si="4"/>
        <v>LatviaGlass</v>
      </c>
    </row>
    <row r="317" spans="1:4" x14ac:dyDescent="0.25">
      <c r="A317" s="65" t="s">
        <v>691</v>
      </c>
      <c r="B317" s="65" t="s">
        <v>8</v>
      </c>
      <c r="C317" s="66">
        <v>377726.45</v>
      </c>
      <c r="D317" s="65" t="str">
        <f t="shared" si="4"/>
        <v>MozambiqueGlass</v>
      </c>
    </row>
    <row r="318" spans="1:4" x14ac:dyDescent="0.25">
      <c r="A318" s="65" t="s">
        <v>692</v>
      </c>
      <c r="B318" s="65" t="s">
        <v>8</v>
      </c>
      <c r="C318" s="66">
        <v>69959.23</v>
      </c>
      <c r="D318" s="65" t="str">
        <f t="shared" si="4"/>
        <v>AlbaniaGlass</v>
      </c>
    </row>
    <row r="319" spans="1:4" x14ac:dyDescent="0.25">
      <c r="A319" s="65" t="s">
        <v>693</v>
      </c>
      <c r="B319" s="65" t="s">
        <v>8</v>
      </c>
      <c r="C319" s="66">
        <v>25796.21</v>
      </c>
      <c r="D319" s="65" t="str">
        <f t="shared" si="4"/>
        <v>SyriaGlass</v>
      </c>
    </row>
    <row r="320" spans="1:4" x14ac:dyDescent="0.25">
      <c r="A320" s="65" t="s">
        <v>694</v>
      </c>
      <c r="B320" s="65" t="s">
        <v>8</v>
      </c>
      <c r="C320" s="66">
        <v>152783.79999999999</v>
      </c>
      <c r="D320" s="65" t="str">
        <f t="shared" si="4"/>
        <v>MadagascarGlass</v>
      </c>
    </row>
    <row r="321" spans="1:4" x14ac:dyDescent="0.25">
      <c r="A321" s="65" t="s">
        <v>695</v>
      </c>
      <c r="B321" s="65" t="s">
        <v>8</v>
      </c>
      <c r="C321" s="66">
        <v>192663.14</v>
      </c>
      <c r="D321" s="65" t="str">
        <f t="shared" si="4"/>
        <v>CubaGlass</v>
      </c>
    </row>
    <row r="322" spans="1:4" x14ac:dyDescent="0.25">
      <c r="A322" s="65" t="s">
        <v>696</v>
      </c>
      <c r="B322" s="65" t="s">
        <v>8</v>
      </c>
      <c r="C322" s="66">
        <v>38241.39</v>
      </c>
      <c r="D322" s="65" t="str">
        <f t="shared" si="4"/>
        <v>Cote dIvoireGlass</v>
      </c>
    </row>
    <row r="323" spans="1:4" x14ac:dyDescent="0.25">
      <c r="A323" s="65" t="s">
        <v>697</v>
      </c>
      <c r="B323" s="65" t="s">
        <v>8</v>
      </c>
      <c r="C323" s="66">
        <v>57920.58</v>
      </c>
      <c r="D323" s="65" t="str">
        <f t="shared" ref="D323:D386" si="5">A323&amp;B323</f>
        <v>ArmeniaGlass</v>
      </c>
    </row>
    <row r="324" spans="1:4" x14ac:dyDescent="0.25">
      <c r="A324" s="65" t="s">
        <v>698</v>
      </c>
      <c r="B324" s="65" t="s">
        <v>8</v>
      </c>
      <c r="C324" s="66">
        <v>644662.80000000005</v>
      </c>
      <c r="D324" s="65" t="str">
        <f t="shared" si="5"/>
        <v>CameroonGlass</v>
      </c>
    </row>
    <row r="325" spans="1:4" x14ac:dyDescent="0.25">
      <c r="A325" s="67" t="s">
        <v>222</v>
      </c>
      <c r="B325" s="65" t="s">
        <v>8</v>
      </c>
      <c r="C325" s="66">
        <v>26941.54</v>
      </c>
      <c r="D325" s="65" t="str">
        <f t="shared" si="5"/>
        <v>MaltaGlass</v>
      </c>
    </row>
    <row r="326" spans="1:4" x14ac:dyDescent="0.25">
      <c r="A326" s="65" t="s">
        <v>699</v>
      </c>
      <c r="B326" s="65" t="s">
        <v>8</v>
      </c>
      <c r="C326" s="66">
        <v>43171.360000000001</v>
      </c>
      <c r="D326" s="65" t="str">
        <f t="shared" si="5"/>
        <v>NigerGlass</v>
      </c>
    </row>
    <row r="327" spans="1:4" x14ac:dyDescent="0.25">
      <c r="A327" s="65" t="s">
        <v>700</v>
      </c>
      <c r="B327" s="65" t="s">
        <v>8</v>
      </c>
      <c r="C327" s="66">
        <v>326647.18</v>
      </c>
      <c r="D327" s="65" t="str">
        <f t="shared" si="5"/>
        <v>Burkina FasoGlass</v>
      </c>
    </row>
    <row r="328" spans="1:4" x14ac:dyDescent="0.25">
      <c r="A328" s="65" t="s">
        <v>701</v>
      </c>
      <c r="B328" s="65" t="s">
        <v>8</v>
      </c>
      <c r="C328" s="66">
        <v>48014.82</v>
      </c>
      <c r="D328" s="65" t="str">
        <f t="shared" si="5"/>
        <v>MaliGlass</v>
      </c>
    </row>
    <row r="329" spans="1:4" x14ac:dyDescent="0.25">
      <c r="A329" s="65" t="s">
        <v>702</v>
      </c>
      <c r="B329" s="65" t="s">
        <v>8</v>
      </c>
      <c r="C329" s="66">
        <v>53805.15</v>
      </c>
      <c r="D329" s="65" t="str">
        <f t="shared" si="5"/>
        <v>MalawiGlass</v>
      </c>
    </row>
    <row r="330" spans="1:4" x14ac:dyDescent="0.25">
      <c r="A330" s="67" t="s">
        <v>210</v>
      </c>
      <c r="B330" s="65" t="s">
        <v>8</v>
      </c>
      <c r="C330" s="66">
        <v>40807.050000000003</v>
      </c>
      <c r="D330" s="65" t="str">
        <f t="shared" si="5"/>
        <v>CyprusGlass</v>
      </c>
    </row>
    <row r="331" spans="1:4" x14ac:dyDescent="0.25">
      <c r="A331" s="67" t="s">
        <v>213</v>
      </c>
      <c r="B331" s="65" t="s">
        <v>8</v>
      </c>
      <c r="C331" s="66">
        <v>52102.62</v>
      </c>
      <c r="D331" s="65" t="str">
        <f t="shared" si="5"/>
        <v>EstoniaGlass</v>
      </c>
    </row>
    <row r="332" spans="1:4" x14ac:dyDescent="0.25">
      <c r="A332" s="65" t="s">
        <v>703</v>
      </c>
      <c r="B332" s="65" t="s">
        <v>8</v>
      </c>
      <c r="C332" s="66">
        <v>52443.62</v>
      </c>
      <c r="D332" s="65" t="str">
        <f t="shared" si="5"/>
        <v>SenegalGlass</v>
      </c>
    </row>
    <row r="333" spans="1:4" x14ac:dyDescent="0.25">
      <c r="A333" s="65" t="s">
        <v>704</v>
      </c>
      <c r="B333" s="65" t="s">
        <v>8</v>
      </c>
      <c r="C333" s="66">
        <v>69352.08</v>
      </c>
      <c r="D333" s="65" t="str">
        <f t="shared" si="5"/>
        <v>ChadGlass</v>
      </c>
    </row>
    <row r="334" spans="1:4" x14ac:dyDescent="0.25">
      <c r="A334" s="67" t="s">
        <v>221</v>
      </c>
      <c r="B334" s="65" t="s">
        <v>8</v>
      </c>
      <c r="C334" s="66">
        <v>58646.39</v>
      </c>
      <c r="D334" s="65" t="str">
        <f t="shared" si="5"/>
        <v>LuxembourgGlass</v>
      </c>
    </row>
    <row r="335" spans="1:4" x14ac:dyDescent="0.25">
      <c r="A335" s="65" t="s">
        <v>705</v>
      </c>
      <c r="B335" s="65" t="s">
        <v>8</v>
      </c>
      <c r="C335" s="66">
        <v>64590.080000000002</v>
      </c>
      <c r="D335" s="65" t="str">
        <f t="shared" si="5"/>
        <v>MongoliaGlass</v>
      </c>
    </row>
    <row r="336" spans="1:4" x14ac:dyDescent="0.25">
      <c r="A336" s="65" t="s">
        <v>706</v>
      </c>
      <c r="B336" s="65" t="s">
        <v>8</v>
      </c>
      <c r="C336" s="66">
        <v>155732.89000000001</v>
      </c>
      <c r="D336" s="65" t="str">
        <f t="shared" si="5"/>
        <v>ZimbabweGlass</v>
      </c>
    </row>
    <row r="337" spans="1:4" x14ac:dyDescent="0.25">
      <c r="A337" s="65" t="s">
        <v>707</v>
      </c>
      <c r="B337" s="65" t="s">
        <v>8</v>
      </c>
      <c r="C337" s="66">
        <v>43621.35</v>
      </c>
      <c r="D337" s="65" t="str">
        <f t="shared" si="5"/>
        <v>MontenegroGlass</v>
      </c>
    </row>
    <row r="338" spans="1:4" x14ac:dyDescent="0.25">
      <c r="A338" s="65" t="s">
        <v>708</v>
      </c>
      <c r="B338" s="65" t="s">
        <v>8</v>
      </c>
      <c r="C338" s="66">
        <v>56132.95</v>
      </c>
      <c r="D338" s="65" t="str">
        <f t="shared" si="5"/>
        <v>GuineaGlass</v>
      </c>
    </row>
    <row r="339" spans="1:4" x14ac:dyDescent="0.25">
      <c r="A339" s="65" t="s">
        <v>709</v>
      </c>
      <c r="B339" s="65" t="s">
        <v>8</v>
      </c>
      <c r="C339" s="66">
        <v>245276.63</v>
      </c>
      <c r="D339" s="65" t="str">
        <f t="shared" si="5"/>
        <v>RwandaGlass</v>
      </c>
    </row>
    <row r="340" spans="1:4" x14ac:dyDescent="0.25">
      <c r="A340" s="65" t="s">
        <v>710</v>
      </c>
      <c r="B340" s="65" t="s">
        <v>8</v>
      </c>
      <c r="C340" s="66">
        <v>132322.48000000001</v>
      </c>
      <c r="D340" s="65" t="str">
        <f t="shared" si="5"/>
        <v>BeninGlass</v>
      </c>
    </row>
    <row r="341" spans="1:4" x14ac:dyDescent="0.25">
      <c r="A341" s="65" t="s">
        <v>711</v>
      </c>
      <c r="B341" s="65" t="s">
        <v>8</v>
      </c>
      <c r="C341" s="66">
        <v>223840.96</v>
      </c>
      <c r="D341" s="65" t="str">
        <f t="shared" si="5"/>
        <v>BurundiGlass</v>
      </c>
    </row>
    <row r="342" spans="1:4" x14ac:dyDescent="0.25">
      <c r="A342" s="65" t="s">
        <v>712</v>
      </c>
      <c r="B342" s="65" t="s">
        <v>8</v>
      </c>
      <c r="C342" s="66">
        <v>6660.64</v>
      </c>
      <c r="D342" s="65" t="str">
        <f t="shared" si="5"/>
        <v>Bahamas, TheGlass</v>
      </c>
    </row>
    <row r="343" spans="1:4" x14ac:dyDescent="0.25">
      <c r="A343" s="65" t="s">
        <v>713</v>
      </c>
      <c r="B343" s="65" t="s">
        <v>8</v>
      </c>
      <c r="C343" s="66">
        <v>40089.99</v>
      </c>
      <c r="D343" s="65" t="str">
        <f t="shared" si="5"/>
        <v>GuyanaGlass</v>
      </c>
    </row>
    <row r="344" spans="1:4" x14ac:dyDescent="0.25">
      <c r="A344" s="65" t="s">
        <v>714</v>
      </c>
      <c r="B344" s="65" t="s">
        <v>8</v>
      </c>
      <c r="C344" s="66">
        <v>32503.72</v>
      </c>
      <c r="D344" s="65" t="str">
        <f t="shared" si="5"/>
        <v>South SudanGlass</v>
      </c>
    </row>
    <row r="345" spans="1:4" x14ac:dyDescent="0.25">
      <c r="A345" s="65" t="s">
        <v>715</v>
      </c>
      <c r="B345" s="65" t="s">
        <v>8</v>
      </c>
      <c r="C345" s="66">
        <v>21364.43</v>
      </c>
      <c r="D345" s="65" t="str">
        <f t="shared" si="5"/>
        <v>BelizeGlass</v>
      </c>
    </row>
    <row r="346" spans="1:4" x14ac:dyDescent="0.25">
      <c r="A346" s="65" t="s">
        <v>716</v>
      </c>
      <c r="B346" s="65" t="s">
        <v>8</v>
      </c>
      <c r="C346" s="66">
        <v>72071.3</v>
      </c>
      <c r="D346" s="65" t="str">
        <f t="shared" si="5"/>
        <v>TogoGlass</v>
      </c>
    </row>
    <row r="347" spans="1:4" x14ac:dyDescent="0.25">
      <c r="A347" s="65" t="s">
        <v>717</v>
      </c>
      <c r="B347" s="65" t="s">
        <v>8</v>
      </c>
      <c r="C347" s="66">
        <v>24286.080000000002</v>
      </c>
      <c r="D347" s="65" t="str">
        <f t="shared" si="5"/>
        <v>Sierra LeoneGlass</v>
      </c>
    </row>
    <row r="348" spans="1:4" x14ac:dyDescent="0.25">
      <c r="A348" s="65" t="s">
        <v>718</v>
      </c>
      <c r="B348" s="65" t="s">
        <v>8</v>
      </c>
      <c r="C348" s="66">
        <v>19774.38</v>
      </c>
      <c r="D348" s="65" t="str">
        <f t="shared" si="5"/>
        <v>SurinameGlass</v>
      </c>
    </row>
    <row r="349" spans="1:4" x14ac:dyDescent="0.25">
      <c r="A349" s="67" t="s">
        <v>719</v>
      </c>
      <c r="B349" s="65" t="s">
        <v>8</v>
      </c>
      <c r="C349" s="66">
        <v>6340.24</v>
      </c>
      <c r="D349" s="65" t="str">
        <f t="shared" si="5"/>
        <v>IcelandGlass</v>
      </c>
    </row>
    <row r="350" spans="1:4" x14ac:dyDescent="0.25">
      <c r="A350" s="65" t="s">
        <v>720</v>
      </c>
      <c r="B350" s="65" t="s">
        <v>8</v>
      </c>
      <c r="C350" s="66">
        <v>19843.099999999999</v>
      </c>
      <c r="D350" s="65" t="str">
        <f t="shared" si="5"/>
        <v>BarbadosGlass</v>
      </c>
    </row>
    <row r="351" spans="1:4" x14ac:dyDescent="0.25">
      <c r="A351" s="65" t="s">
        <v>721</v>
      </c>
      <c r="B351" s="65" t="s">
        <v>8</v>
      </c>
      <c r="C351" s="66">
        <v>1749.38</v>
      </c>
      <c r="D351" s="65" t="str">
        <f t="shared" si="5"/>
        <v>Timor LesteGlass</v>
      </c>
    </row>
    <row r="352" spans="1:4" x14ac:dyDescent="0.25">
      <c r="A352" s="65" t="s">
        <v>722</v>
      </c>
      <c r="B352" s="65" t="s">
        <v>8</v>
      </c>
      <c r="C352" s="66">
        <v>8107.7</v>
      </c>
      <c r="D352" s="65" t="str">
        <f t="shared" si="5"/>
        <v>Congo, Rep.Glass</v>
      </c>
    </row>
    <row r="353" spans="1:4" x14ac:dyDescent="0.25">
      <c r="A353" s="65" t="s">
        <v>723</v>
      </c>
      <c r="B353" s="65" t="s">
        <v>8</v>
      </c>
      <c r="C353" s="66">
        <v>28999.78</v>
      </c>
      <c r="D353" s="65" t="str">
        <f t="shared" si="5"/>
        <v>Central African RepublicGlass</v>
      </c>
    </row>
    <row r="354" spans="1:4" x14ac:dyDescent="0.25">
      <c r="A354" s="65" t="s">
        <v>724</v>
      </c>
      <c r="B354" s="65" t="s">
        <v>8</v>
      </c>
      <c r="C354" s="66">
        <v>22752.62</v>
      </c>
      <c r="D354" s="65" t="str">
        <f t="shared" si="5"/>
        <v>LiberiaGlass</v>
      </c>
    </row>
    <row r="355" spans="1:4" x14ac:dyDescent="0.25">
      <c r="A355" s="65" t="s">
        <v>725</v>
      </c>
      <c r="B355" s="65" t="s">
        <v>8</v>
      </c>
      <c r="C355" s="66">
        <v>6431.57</v>
      </c>
      <c r="D355" s="65" t="str">
        <f t="shared" si="5"/>
        <v>MauritaniaGlass</v>
      </c>
    </row>
    <row r="356" spans="1:4" x14ac:dyDescent="0.25">
      <c r="A356" s="65" t="s">
        <v>726</v>
      </c>
      <c r="B356" s="65" t="s">
        <v>8</v>
      </c>
      <c r="C356" s="66">
        <v>2989.48</v>
      </c>
      <c r="D356" s="65" t="str">
        <f t="shared" si="5"/>
        <v>French GuianaGlass</v>
      </c>
    </row>
    <row r="357" spans="1:4" x14ac:dyDescent="0.25">
      <c r="A357" s="65" t="s">
        <v>727</v>
      </c>
      <c r="B357" s="65" t="s">
        <v>8</v>
      </c>
      <c r="C357" s="66">
        <v>12918.98</v>
      </c>
      <c r="D357" s="65" t="str">
        <f t="shared" si="5"/>
        <v>FijiGlass</v>
      </c>
    </row>
    <row r="358" spans="1:4" x14ac:dyDescent="0.25">
      <c r="A358" s="65" t="s">
        <v>728</v>
      </c>
      <c r="B358" s="65" t="s">
        <v>8</v>
      </c>
      <c r="C358" s="66">
        <v>2501.16</v>
      </c>
      <c r="D358" s="65" t="str">
        <f t="shared" si="5"/>
        <v>CuracaoGlass</v>
      </c>
    </row>
    <row r="359" spans="1:4" x14ac:dyDescent="0.25">
      <c r="A359" s="65" t="s">
        <v>729</v>
      </c>
      <c r="B359" s="65" t="s">
        <v>8</v>
      </c>
      <c r="C359" s="66">
        <v>8899.74</v>
      </c>
      <c r="D359" s="65" t="str">
        <f t="shared" si="5"/>
        <v>BhutanGlass</v>
      </c>
    </row>
    <row r="360" spans="1:4" x14ac:dyDescent="0.25">
      <c r="A360" s="65" t="s">
        <v>730</v>
      </c>
      <c r="B360" s="65" t="s">
        <v>8</v>
      </c>
      <c r="C360" s="66">
        <v>18683.8</v>
      </c>
      <c r="D360" s="65" t="str">
        <f t="shared" si="5"/>
        <v>EritreaGlass</v>
      </c>
    </row>
    <row r="361" spans="1:4" x14ac:dyDescent="0.25">
      <c r="A361" s="65" t="s">
        <v>731</v>
      </c>
      <c r="B361" s="65" t="s">
        <v>8</v>
      </c>
      <c r="C361" s="66">
        <v>2177.69</v>
      </c>
      <c r="D361" s="65" t="str">
        <f t="shared" si="5"/>
        <v>St. LuciaGlass</v>
      </c>
    </row>
    <row r="362" spans="1:4" x14ac:dyDescent="0.25">
      <c r="A362" s="65" t="s">
        <v>732</v>
      </c>
      <c r="B362" s="65" t="s">
        <v>8</v>
      </c>
      <c r="C362" s="66">
        <v>4278.63</v>
      </c>
      <c r="D362" s="65" t="str">
        <f t="shared" si="5"/>
        <v>Solomon IslandsGlass</v>
      </c>
    </row>
    <row r="363" spans="1:4" x14ac:dyDescent="0.25">
      <c r="A363" s="65" t="s">
        <v>733</v>
      </c>
      <c r="B363" s="65" t="s">
        <v>8</v>
      </c>
      <c r="C363" s="66">
        <v>10738.65</v>
      </c>
      <c r="D363" s="65" t="str">
        <f t="shared" si="5"/>
        <v>ArubaGlass</v>
      </c>
    </row>
    <row r="364" spans="1:4" x14ac:dyDescent="0.25">
      <c r="A364" s="65" t="s">
        <v>734</v>
      </c>
      <c r="B364" s="65" t="s">
        <v>8</v>
      </c>
      <c r="C364" s="66">
        <v>3674.68</v>
      </c>
      <c r="D364" s="65" t="str">
        <f t="shared" si="5"/>
        <v>Gambia, TheGlass</v>
      </c>
    </row>
    <row r="365" spans="1:4" x14ac:dyDescent="0.25">
      <c r="A365" s="65" t="s">
        <v>735</v>
      </c>
      <c r="B365" s="65" t="s">
        <v>8</v>
      </c>
      <c r="C365" s="66">
        <v>120412.67</v>
      </c>
      <c r="D365" s="65" t="str">
        <f t="shared" si="5"/>
        <v>BotswanaGlass</v>
      </c>
    </row>
    <row r="366" spans="1:4" x14ac:dyDescent="0.25">
      <c r="A366" s="65" t="s">
        <v>736</v>
      </c>
      <c r="B366" s="65" t="s">
        <v>8</v>
      </c>
      <c r="C366" s="66">
        <v>202656.25</v>
      </c>
      <c r="D366" s="65" t="str">
        <f t="shared" si="5"/>
        <v>NamibiaGlass</v>
      </c>
    </row>
    <row r="367" spans="1:4" x14ac:dyDescent="0.25">
      <c r="A367" s="65" t="s">
        <v>737</v>
      </c>
      <c r="B367" s="65" t="s">
        <v>8</v>
      </c>
      <c r="C367" s="66">
        <v>690.07</v>
      </c>
      <c r="D367" s="65" t="str">
        <f t="shared" si="5"/>
        <v>MaldivesGlass</v>
      </c>
    </row>
    <row r="368" spans="1:4" x14ac:dyDescent="0.25">
      <c r="A368" s="65" t="s">
        <v>738</v>
      </c>
      <c r="B368" s="65" t="s">
        <v>8</v>
      </c>
      <c r="C368" s="66">
        <v>858.07</v>
      </c>
      <c r="D368" s="65" t="str">
        <f t="shared" si="5"/>
        <v>Brunei DarussalamGlass</v>
      </c>
    </row>
    <row r="369" spans="1:4" x14ac:dyDescent="0.25">
      <c r="A369" s="65" t="s">
        <v>739</v>
      </c>
      <c r="B369" s="65" t="s">
        <v>8</v>
      </c>
      <c r="C369" s="66">
        <v>148576.03</v>
      </c>
      <c r="D369" s="65" t="str">
        <f t="shared" si="5"/>
        <v>GabonGlass</v>
      </c>
    </row>
    <row r="370" spans="1:4" x14ac:dyDescent="0.25">
      <c r="A370" s="65" t="s">
        <v>740</v>
      </c>
      <c r="B370" s="65" t="s">
        <v>8</v>
      </c>
      <c r="C370" s="66">
        <v>51834.89</v>
      </c>
      <c r="D370" s="65" t="str">
        <f t="shared" si="5"/>
        <v>LesothoGlass</v>
      </c>
    </row>
    <row r="371" spans="1:4" x14ac:dyDescent="0.25">
      <c r="A371" s="65" t="s">
        <v>741</v>
      </c>
      <c r="B371" s="65" t="s">
        <v>8</v>
      </c>
      <c r="C371" s="66">
        <v>2859.31</v>
      </c>
      <c r="D371" s="65" t="str">
        <f t="shared" si="5"/>
        <v>Guinea-BissauGlass</v>
      </c>
    </row>
    <row r="372" spans="1:4" x14ac:dyDescent="0.25">
      <c r="A372" s="65" t="s">
        <v>742</v>
      </c>
      <c r="B372" s="65" t="s">
        <v>8</v>
      </c>
      <c r="C372" s="66">
        <v>1508.55</v>
      </c>
      <c r="D372" s="65" t="str">
        <f t="shared" si="5"/>
        <v>St. Vincent and the GrenadinesGlass</v>
      </c>
    </row>
    <row r="373" spans="1:4" x14ac:dyDescent="0.25">
      <c r="A373" s="65" t="s">
        <v>743</v>
      </c>
      <c r="B373" s="65" t="s">
        <v>8</v>
      </c>
      <c r="C373" s="66">
        <v>6654.46</v>
      </c>
      <c r="D373" s="65" t="str">
        <f t="shared" si="5"/>
        <v>GrenadaGlass</v>
      </c>
    </row>
    <row r="374" spans="1:4" x14ac:dyDescent="0.25">
      <c r="A374" s="65" t="s">
        <v>744</v>
      </c>
      <c r="B374" s="65" t="s">
        <v>8</v>
      </c>
      <c r="C374" s="66">
        <v>62740.03</v>
      </c>
      <c r="D374" s="65" t="str">
        <f t="shared" si="5"/>
        <v>Equatorial GuineaGlass</v>
      </c>
    </row>
    <row r="375" spans="1:4" x14ac:dyDescent="0.25">
      <c r="A375" s="65" t="s">
        <v>745</v>
      </c>
      <c r="B375" s="65" t="s">
        <v>8</v>
      </c>
      <c r="C375" s="66">
        <v>1026.72</v>
      </c>
      <c r="D375" s="65" t="str">
        <f t="shared" si="5"/>
        <v>BermudaGlass</v>
      </c>
    </row>
    <row r="376" spans="1:4" x14ac:dyDescent="0.25">
      <c r="A376" s="65" t="s">
        <v>746</v>
      </c>
      <c r="B376" s="65" t="s">
        <v>8</v>
      </c>
      <c r="C376" s="66">
        <v>1293.76</v>
      </c>
      <c r="D376" s="65" t="str">
        <f t="shared" si="5"/>
        <v>AndorraGlass</v>
      </c>
    </row>
    <row r="377" spans="1:4" x14ac:dyDescent="0.25">
      <c r="A377" s="65" t="s">
        <v>747</v>
      </c>
      <c r="B377" s="65" t="s">
        <v>8</v>
      </c>
      <c r="C377" s="66">
        <v>2781.22</v>
      </c>
      <c r="D377" s="65" t="str">
        <f t="shared" si="5"/>
        <v>DominicaGlass</v>
      </c>
    </row>
    <row r="378" spans="1:4" x14ac:dyDescent="0.25">
      <c r="A378" s="65" t="s">
        <v>748</v>
      </c>
      <c r="B378" s="65" t="s">
        <v>8</v>
      </c>
      <c r="C378" s="66">
        <v>880.41</v>
      </c>
      <c r="D378" s="65" t="str">
        <f t="shared" si="5"/>
        <v>St. Kitts and NevisGlass</v>
      </c>
    </row>
    <row r="379" spans="1:4" x14ac:dyDescent="0.25">
      <c r="A379" s="65" t="s">
        <v>749</v>
      </c>
      <c r="B379" s="65" t="s">
        <v>8</v>
      </c>
      <c r="C379" s="66">
        <v>4169.13</v>
      </c>
      <c r="D379" s="65" t="str">
        <f t="shared" si="5"/>
        <v>Antigua and BarbudaGlass</v>
      </c>
    </row>
    <row r="380" spans="1:4" x14ac:dyDescent="0.25">
      <c r="A380" s="65" t="s">
        <v>750</v>
      </c>
      <c r="B380" s="65" t="s">
        <v>8</v>
      </c>
      <c r="C380" s="66">
        <v>17446.16</v>
      </c>
      <c r="D380" s="65" t="str">
        <f t="shared" si="5"/>
        <v>French PolynesiaGlass</v>
      </c>
    </row>
    <row r="381" spans="1:4" x14ac:dyDescent="0.25">
      <c r="A381" s="65" t="s">
        <v>751</v>
      </c>
      <c r="B381" s="65" t="s">
        <v>8</v>
      </c>
      <c r="C381" s="66">
        <v>41263.11</v>
      </c>
      <c r="D381" s="65" t="str">
        <f t="shared" si="5"/>
        <v>MauritiusGlass</v>
      </c>
    </row>
    <row r="382" spans="1:4" x14ac:dyDescent="0.25">
      <c r="A382" s="65" t="s">
        <v>752</v>
      </c>
      <c r="B382" s="65" t="s">
        <v>8</v>
      </c>
      <c r="C382" s="66">
        <v>11144.89</v>
      </c>
      <c r="D382" s="65" t="str">
        <f t="shared" si="5"/>
        <v>New CaledoniaGlass</v>
      </c>
    </row>
    <row r="383" spans="1:4" x14ac:dyDescent="0.25">
      <c r="A383" s="65" t="s">
        <v>753</v>
      </c>
      <c r="B383" s="65" t="s">
        <v>8</v>
      </c>
      <c r="C383" s="66">
        <v>23991.599999999999</v>
      </c>
      <c r="D383" s="65" t="str">
        <f t="shared" si="5"/>
        <v>EswatiniGlass</v>
      </c>
    </row>
    <row r="384" spans="1:4" x14ac:dyDescent="0.25">
      <c r="A384" s="65" t="s">
        <v>754</v>
      </c>
      <c r="B384" s="65" t="s">
        <v>8</v>
      </c>
      <c r="C384" s="66">
        <v>1556.81</v>
      </c>
      <c r="D384" s="65" t="str">
        <f t="shared" si="5"/>
        <v>DjiboutiGlass</v>
      </c>
    </row>
    <row r="385" spans="1:4" x14ac:dyDescent="0.25">
      <c r="A385" s="65" t="s">
        <v>755</v>
      </c>
      <c r="B385" s="65" t="s">
        <v>8</v>
      </c>
      <c r="C385" s="66">
        <v>1038.28</v>
      </c>
      <c r="D385" s="65" t="str">
        <f t="shared" si="5"/>
        <v>GreenlandGlass</v>
      </c>
    </row>
    <row r="386" spans="1:4" x14ac:dyDescent="0.25">
      <c r="A386" s="65" t="s">
        <v>756</v>
      </c>
      <c r="B386" s="65" t="s">
        <v>8</v>
      </c>
      <c r="C386" s="66">
        <v>1606.09</v>
      </c>
      <c r="D386" s="65" t="str">
        <f t="shared" si="5"/>
        <v>Faroe IslandsGlass</v>
      </c>
    </row>
    <row r="387" spans="1:4" x14ac:dyDescent="0.25">
      <c r="A387" s="65" t="s">
        <v>757</v>
      </c>
      <c r="B387" s="65" t="s">
        <v>8</v>
      </c>
      <c r="C387" s="66">
        <v>4058.34</v>
      </c>
      <c r="D387" s="65" t="str">
        <f t="shared" ref="D387:D450" si="6">A387&amp;B387</f>
        <v>SamoaGlass</v>
      </c>
    </row>
    <row r="388" spans="1:4" x14ac:dyDescent="0.25">
      <c r="A388" s="65" t="s">
        <v>758</v>
      </c>
      <c r="B388" s="65" t="s">
        <v>8</v>
      </c>
      <c r="C388" s="66">
        <v>1150.73</v>
      </c>
      <c r="D388" s="65" t="str">
        <f t="shared" si="6"/>
        <v>ComorosGlass</v>
      </c>
    </row>
    <row r="389" spans="1:4" x14ac:dyDescent="0.25">
      <c r="A389" s="65" t="s">
        <v>759</v>
      </c>
      <c r="B389" s="65" t="s">
        <v>8</v>
      </c>
      <c r="C389" s="66">
        <v>492.78</v>
      </c>
      <c r="D389" s="65" t="str">
        <f t="shared" si="6"/>
        <v>Turks and Caicos IslandsGlass</v>
      </c>
    </row>
    <row r="390" spans="1:4" x14ac:dyDescent="0.25">
      <c r="A390" s="65" t="s">
        <v>760</v>
      </c>
      <c r="B390" s="65" t="s">
        <v>8</v>
      </c>
      <c r="C390" s="66">
        <v>202.04</v>
      </c>
      <c r="D390" s="65" t="str">
        <f t="shared" si="6"/>
        <v>GuamGlass</v>
      </c>
    </row>
    <row r="391" spans="1:4" x14ac:dyDescent="0.25">
      <c r="A391" s="65" t="s">
        <v>761</v>
      </c>
      <c r="B391" s="65" t="s">
        <v>8</v>
      </c>
      <c r="C391" s="66">
        <v>579.36</v>
      </c>
      <c r="D391" s="65" t="str">
        <f t="shared" si="6"/>
        <v>LiechtensteinGlass</v>
      </c>
    </row>
    <row r="392" spans="1:4" x14ac:dyDescent="0.25">
      <c r="A392" s="65" t="s">
        <v>762</v>
      </c>
      <c r="B392" s="65" t="s">
        <v>8</v>
      </c>
      <c r="C392" s="66">
        <v>537.37</v>
      </c>
      <c r="D392" s="65" t="str">
        <f t="shared" si="6"/>
        <v>MonacoGlass</v>
      </c>
    </row>
    <row r="393" spans="1:4" x14ac:dyDescent="0.25">
      <c r="A393" s="65" t="s">
        <v>763</v>
      </c>
      <c r="B393" s="65" t="s">
        <v>8</v>
      </c>
      <c r="C393" s="66">
        <v>805.48</v>
      </c>
      <c r="D393" s="65" t="str">
        <f t="shared" si="6"/>
        <v>Cabo VerdeGlass</v>
      </c>
    </row>
    <row r="394" spans="1:4" x14ac:dyDescent="0.25">
      <c r="A394" s="65" t="s">
        <v>764</v>
      </c>
      <c r="B394" s="65" t="s">
        <v>8</v>
      </c>
      <c r="C394" s="66">
        <v>782.59</v>
      </c>
      <c r="D394" s="65" t="str">
        <f t="shared" si="6"/>
        <v>Western SaharaGlass</v>
      </c>
    </row>
    <row r="395" spans="1:4" x14ac:dyDescent="0.25">
      <c r="A395" s="65" t="s">
        <v>765</v>
      </c>
      <c r="B395" s="65" t="s">
        <v>8</v>
      </c>
      <c r="C395" s="66">
        <v>4253.47</v>
      </c>
      <c r="D395" s="65" t="str">
        <f t="shared" si="6"/>
        <v>Cayman IslandsGlass</v>
      </c>
    </row>
    <row r="396" spans="1:4" x14ac:dyDescent="0.25">
      <c r="A396" s="65" t="s">
        <v>766</v>
      </c>
      <c r="B396" s="65" t="s">
        <v>8</v>
      </c>
      <c r="C396" s="66">
        <v>114.09</v>
      </c>
      <c r="D396" s="65" t="str">
        <f t="shared" si="6"/>
        <v>TongaGlass</v>
      </c>
    </row>
    <row r="397" spans="1:4" x14ac:dyDescent="0.25">
      <c r="A397" s="65" t="s">
        <v>767</v>
      </c>
      <c r="B397" s="65" t="s">
        <v>8</v>
      </c>
      <c r="C397" s="66">
        <v>105.74</v>
      </c>
      <c r="D397" s="65" t="str">
        <f t="shared" si="6"/>
        <v>KiribatiGlass</v>
      </c>
    </row>
    <row r="398" spans="1:4" x14ac:dyDescent="0.25">
      <c r="A398" s="65" t="s">
        <v>768</v>
      </c>
      <c r="B398" s="65" t="s">
        <v>8</v>
      </c>
      <c r="C398" s="66">
        <v>158.71</v>
      </c>
      <c r="D398" s="65" t="str">
        <f t="shared" si="6"/>
        <v>Micronesia, Fed. Sts.Glass</v>
      </c>
    </row>
    <row r="399" spans="1:4" x14ac:dyDescent="0.25">
      <c r="A399" s="65" t="s">
        <v>769</v>
      </c>
      <c r="B399" s="65" t="s">
        <v>8</v>
      </c>
      <c r="C399" s="66">
        <v>92.58</v>
      </c>
      <c r="D399" s="65" t="str">
        <f t="shared" si="6"/>
        <v>Marshall IslandsGlass</v>
      </c>
    </row>
    <row r="400" spans="1:4" x14ac:dyDescent="0.25">
      <c r="A400" s="65" t="s">
        <v>770</v>
      </c>
      <c r="B400" s="65" t="s">
        <v>8</v>
      </c>
      <c r="C400" s="66">
        <v>65.08</v>
      </c>
      <c r="D400" s="65" t="str">
        <f t="shared" si="6"/>
        <v>American SamoaGlass</v>
      </c>
    </row>
    <row r="401" spans="1:4" x14ac:dyDescent="0.25">
      <c r="A401" s="65" t="s">
        <v>771</v>
      </c>
      <c r="B401" s="65" t="s">
        <v>8</v>
      </c>
      <c r="C401" s="66">
        <v>7148.22</v>
      </c>
      <c r="D401" s="65" t="str">
        <f t="shared" si="6"/>
        <v>SeychellesGlass</v>
      </c>
    </row>
    <row r="402" spans="1:4" x14ac:dyDescent="0.25">
      <c r="A402" s="65" t="s">
        <v>772</v>
      </c>
      <c r="B402" s="65" t="s">
        <v>8</v>
      </c>
      <c r="C402" s="66">
        <v>47.2</v>
      </c>
      <c r="D402" s="65" t="str">
        <f t="shared" si="6"/>
        <v>PalauGlass</v>
      </c>
    </row>
    <row r="403" spans="1:4" x14ac:dyDescent="0.25">
      <c r="A403" s="65" t="s">
        <v>773</v>
      </c>
      <c r="B403" s="65" t="s">
        <v>8</v>
      </c>
      <c r="C403" s="66">
        <v>11.54</v>
      </c>
      <c r="D403" s="65" t="str">
        <f t="shared" si="6"/>
        <v>NauruGlass</v>
      </c>
    </row>
    <row r="404" spans="1:4" x14ac:dyDescent="0.25">
      <c r="A404" s="65" t="s">
        <v>45</v>
      </c>
      <c r="B404" s="65" t="s">
        <v>774</v>
      </c>
      <c r="C404" s="66">
        <v>689310.79</v>
      </c>
      <c r="D404" s="65" t="str">
        <f t="shared" si="6"/>
        <v>ChinaMetal</v>
      </c>
    </row>
    <row r="405" spans="1:4" x14ac:dyDescent="0.25">
      <c r="A405" s="67" t="s">
        <v>346</v>
      </c>
      <c r="B405" s="65" t="s">
        <v>774</v>
      </c>
      <c r="C405" s="66">
        <v>1495984.03</v>
      </c>
      <c r="D405" s="65" t="str">
        <f t="shared" si="6"/>
        <v>United StatesMetal</v>
      </c>
    </row>
    <row r="406" spans="1:4" x14ac:dyDescent="0.25">
      <c r="A406" s="65" t="s">
        <v>144</v>
      </c>
      <c r="B406" s="65" t="s">
        <v>774</v>
      </c>
      <c r="C406" s="66">
        <v>29780.43</v>
      </c>
      <c r="D406" s="65" t="str">
        <f t="shared" si="6"/>
        <v>IndiaMetal</v>
      </c>
    </row>
    <row r="407" spans="1:4" x14ac:dyDescent="0.25">
      <c r="A407" s="65" t="s">
        <v>242</v>
      </c>
      <c r="B407" s="65" t="s">
        <v>774</v>
      </c>
      <c r="C407" s="66">
        <v>193364.24</v>
      </c>
      <c r="D407" s="65" t="str">
        <f t="shared" si="6"/>
        <v>MexicoMetal</v>
      </c>
    </row>
    <row r="408" spans="1:4" x14ac:dyDescent="0.25">
      <c r="A408" s="67" t="s">
        <v>65</v>
      </c>
      <c r="B408" s="65" t="s">
        <v>774</v>
      </c>
      <c r="C408" s="66">
        <v>356135.74</v>
      </c>
      <c r="D408" s="65" t="str">
        <f t="shared" si="6"/>
        <v>JapanMetal</v>
      </c>
    </row>
    <row r="409" spans="1:4" x14ac:dyDescent="0.25">
      <c r="A409" s="67" t="s">
        <v>112</v>
      </c>
      <c r="B409" s="65" t="s">
        <v>774</v>
      </c>
      <c r="C409" s="66">
        <v>80842.63</v>
      </c>
      <c r="D409" s="65" t="str">
        <f t="shared" si="6"/>
        <v>GermanyMetal</v>
      </c>
    </row>
    <row r="410" spans="1:4" x14ac:dyDescent="0.25">
      <c r="A410" s="67" t="s">
        <v>60</v>
      </c>
      <c r="B410" s="65" t="s">
        <v>774</v>
      </c>
      <c r="C410" s="66">
        <v>334436.42</v>
      </c>
      <c r="D410" s="65" t="str">
        <f t="shared" si="6"/>
        <v>BrazilMetal</v>
      </c>
    </row>
    <row r="411" spans="1:4" x14ac:dyDescent="0.25">
      <c r="A411" s="67" t="s">
        <v>218</v>
      </c>
      <c r="B411" s="65" t="s">
        <v>774</v>
      </c>
      <c r="C411" s="66">
        <v>30849.73</v>
      </c>
      <c r="D411" s="65" t="str">
        <f t="shared" si="6"/>
        <v>ItalyMetal</v>
      </c>
    </row>
    <row r="412" spans="1:4" x14ac:dyDescent="0.25">
      <c r="A412" s="65" t="s">
        <v>327</v>
      </c>
      <c r="B412" s="65" t="s">
        <v>774</v>
      </c>
      <c r="C412" s="66">
        <v>126914.58</v>
      </c>
      <c r="D412" s="65" t="str">
        <f t="shared" si="6"/>
        <v>RussiaMetal</v>
      </c>
    </row>
    <row r="413" spans="1:4" x14ac:dyDescent="0.25">
      <c r="A413" s="67" t="s">
        <v>113</v>
      </c>
      <c r="B413" s="65" t="s">
        <v>774</v>
      </c>
      <c r="C413" s="66">
        <v>68269.929999999993</v>
      </c>
      <c r="D413" s="65" t="str">
        <f t="shared" si="6"/>
        <v>FranceMetal</v>
      </c>
    </row>
    <row r="414" spans="1:4" x14ac:dyDescent="0.25">
      <c r="A414" s="65" t="s">
        <v>339</v>
      </c>
      <c r="B414" s="65" t="s">
        <v>774</v>
      </c>
      <c r="C414" s="66">
        <v>28820.93</v>
      </c>
      <c r="D414" s="65" t="str">
        <f t="shared" si="6"/>
        <v>ThailandMetal</v>
      </c>
    </row>
    <row r="415" spans="1:4" x14ac:dyDescent="0.25">
      <c r="A415" s="65" t="s">
        <v>307</v>
      </c>
      <c r="B415" s="65" t="s">
        <v>774</v>
      </c>
      <c r="C415" s="66">
        <v>14959.9</v>
      </c>
      <c r="D415" s="65" t="str">
        <f t="shared" si="6"/>
        <v>IndonesiaMetal</v>
      </c>
    </row>
    <row r="416" spans="1:4" x14ac:dyDescent="0.25">
      <c r="A416" s="67" t="s">
        <v>233</v>
      </c>
      <c r="B416" s="65" t="s">
        <v>774</v>
      </c>
      <c r="C416" s="66">
        <v>190423.42</v>
      </c>
      <c r="D416" s="65" t="str">
        <f t="shared" si="6"/>
        <v>United KingdomMetal</v>
      </c>
    </row>
    <row r="417" spans="1:4" x14ac:dyDescent="0.25">
      <c r="A417" s="67" t="s">
        <v>229</v>
      </c>
      <c r="B417" s="65" t="s">
        <v>774</v>
      </c>
      <c r="C417" s="66">
        <v>118160.1</v>
      </c>
      <c r="D417" s="65" t="str">
        <f t="shared" si="6"/>
        <v>SpainMetal</v>
      </c>
    </row>
    <row r="418" spans="1:4" x14ac:dyDescent="0.25">
      <c r="A418" s="65" t="s">
        <v>341</v>
      </c>
      <c r="B418" s="65" t="s">
        <v>774</v>
      </c>
      <c r="C418" s="66">
        <v>26871.56</v>
      </c>
      <c r="D418" s="65" t="str">
        <f t="shared" si="6"/>
        <v>TurkiyeMetal</v>
      </c>
    </row>
    <row r="419" spans="1:4" x14ac:dyDescent="0.25">
      <c r="A419" s="67" t="s">
        <v>224</v>
      </c>
      <c r="B419" s="65" t="s">
        <v>774</v>
      </c>
      <c r="C419" s="66">
        <v>59487.1</v>
      </c>
      <c r="D419" s="65" t="str">
        <f t="shared" si="6"/>
        <v>PolandMetal</v>
      </c>
    </row>
    <row r="420" spans="1:4" x14ac:dyDescent="0.25">
      <c r="A420" s="65" t="s">
        <v>324</v>
      </c>
      <c r="B420" s="65" t="s">
        <v>774</v>
      </c>
      <c r="C420" s="66">
        <v>20795.560000000001</v>
      </c>
      <c r="D420" s="65" t="str">
        <f t="shared" si="6"/>
        <v>NigeriaMetal</v>
      </c>
    </row>
    <row r="421" spans="1:4" x14ac:dyDescent="0.25">
      <c r="A421" s="65" t="s">
        <v>286</v>
      </c>
      <c r="B421" s="65" t="s">
        <v>774</v>
      </c>
      <c r="C421" s="66">
        <v>17902.75</v>
      </c>
      <c r="D421" s="65" t="str">
        <f t="shared" si="6"/>
        <v>ArgentinaMetal</v>
      </c>
    </row>
    <row r="422" spans="1:4" x14ac:dyDescent="0.25">
      <c r="A422" s="65" t="s">
        <v>137</v>
      </c>
      <c r="B422" s="65" t="s">
        <v>774</v>
      </c>
      <c r="C422" s="66">
        <v>119984.53</v>
      </c>
      <c r="D422" s="65" t="str">
        <f t="shared" si="6"/>
        <v>CanadaMetal</v>
      </c>
    </row>
    <row r="423" spans="1:4" x14ac:dyDescent="0.25">
      <c r="A423" s="65" t="s">
        <v>311</v>
      </c>
      <c r="B423" s="65" t="s">
        <v>774</v>
      </c>
      <c r="C423" s="66">
        <v>30159.53</v>
      </c>
      <c r="D423" s="65" t="str">
        <f t="shared" si="6"/>
        <v>IraqMetal</v>
      </c>
    </row>
    <row r="424" spans="1:4" x14ac:dyDescent="0.25">
      <c r="A424" s="65" t="s">
        <v>329</v>
      </c>
      <c r="B424" s="65" t="s">
        <v>774</v>
      </c>
      <c r="C424" s="66">
        <v>65317.79</v>
      </c>
      <c r="D424" s="65" t="str">
        <f t="shared" si="6"/>
        <v>Saudi ArabiaMetal</v>
      </c>
    </row>
    <row r="425" spans="1:4" x14ac:dyDescent="0.25">
      <c r="A425" s="65" t="s">
        <v>154</v>
      </c>
      <c r="B425" s="65" t="s">
        <v>774</v>
      </c>
      <c r="C425" s="66">
        <v>4238.01</v>
      </c>
      <c r="D425" s="65" t="str">
        <f t="shared" si="6"/>
        <v>PakistanMetal</v>
      </c>
    </row>
    <row r="426" spans="1:4" x14ac:dyDescent="0.25">
      <c r="A426" s="65" t="s">
        <v>334</v>
      </c>
      <c r="B426" s="65" t="s">
        <v>774</v>
      </c>
      <c r="C426" s="66">
        <v>68287.06</v>
      </c>
      <c r="D426" s="65" t="str">
        <f t="shared" si="6"/>
        <v>South KoreaMetal</v>
      </c>
    </row>
    <row r="427" spans="1:4" x14ac:dyDescent="0.25">
      <c r="A427" s="65" t="s">
        <v>279</v>
      </c>
      <c r="B427" s="65" t="s">
        <v>774</v>
      </c>
      <c r="C427" s="66">
        <v>8572.1</v>
      </c>
      <c r="D427" s="65" t="str">
        <f t="shared" si="6"/>
        <v>AlgeriaMetal</v>
      </c>
    </row>
    <row r="428" spans="1:4" x14ac:dyDescent="0.25">
      <c r="A428" s="65" t="s">
        <v>326</v>
      </c>
      <c r="B428" s="65" t="s">
        <v>774</v>
      </c>
      <c r="C428" s="66">
        <v>8705.1299999999992</v>
      </c>
      <c r="D428" s="65" t="str">
        <f t="shared" si="6"/>
        <v>PhilippinesMetal</v>
      </c>
    </row>
    <row r="429" spans="1:4" x14ac:dyDescent="0.25">
      <c r="A429" s="65" t="s">
        <v>348</v>
      </c>
      <c r="B429" s="65" t="s">
        <v>774</v>
      </c>
      <c r="C429" s="66">
        <v>161214.45000000001</v>
      </c>
      <c r="D429" s="65" t="str">
        <f t="shared" si="6"/>
        <v>VietnamMetal</v>
      </c>
    </row>
    <row r="430" spans="1:4" x14ac:dyDescent="0.25">
      <c r="A430" s="65" t="s">
        <v>72</v>
      </c>
      <c r="B430" s="65" t="s">
        <v>774</v>
      </c>
      <c r="C430" s="66">
        <v>74518.009999999995</v>
      </c>
      <c r="D430" s="65" t="str">
        <f t="shared" si="6"/>
        <v>South AfricaMetal</v>
      </c>
    </row>
    <row r="431" spans="1:4" x14ac:dyDescent="0.25">
      <c r="A431" s="65" t="s">
        <v>300</v>
      </c>
      <c r="B431" s="65" t="s">
        <v>774</v>
      </c>
      <c r="C431" s="66">
        <v>9054.23</v>
      </c>
      <c r="D431" s="65" t="str">
        <f t="shared" si="6"/>
        <v>ColombiaMetal</v>
      </c>
    </row>
    <row r="432" spans="1:4" x14ac:dyDescent="0.25">
      <c r="A432" s="67" t="s">
        <v>226</v>
      </c>
      <c r="B432" s="65" t="s">
        <v>774</v>
      </c>
      <c r="C432" s="66">
        <v>20551.39</v>
      </c>
      <c r="D432" s="65" t="str">
        <f t="shared" si="6"/>
        <v>RomaniaMetal</v>
      </c>
    </row>
    <row r="433" spans="1:4" x14ac:dyDescent="0.25">
      <c r="A433" s="65" t="s">
        <v>308</v>
      </c>
      <c r="B433" s="65" t="s">
        <v>774</v>
      </c>
      <c r="C433" s="66">
        <v>24879.63</v>
      </c>
      <c r="D433" s="65" t="str">
        <f t="shared" si="6"/>
        <v>IranMetal</v>
      </c>
    </row>
    <row r="434" spans="1:4" x14ac:dyDescent="0.25">
      <c r="A434" s="65" t="s">
        <v>301</v>
      </c>
      <c r="B434" s="65" t="s">
        <v>774</v>
      </c>
      <c r="C434" s="66">
        <v>38258.78</v>
      </c>
      <c r="D434" s="65" t="str">
        <f t="shared" si="6"/>
        <v>EgyptMetal</v>
      </c>
    </row>
    <row r="435" spans="1:4" x14ac:dyDescent="0.25">
      <c r="A435" s="65" t="s">
        <v>325</v>
      </c>
      <c r="B435" s="65" t="s">
        <v>774</v>
      </c>
      <c r="C435" s="66">
        <v>4750.2299999999996</v>
      </c>
      <c r="D435" s="65" t="str">
        <f t="shared" si="6"/>
        <v>PeruMetal</v>
      </c>
    </row>
    <row r="436" spans="1:4" x14ac:dyDescent="0.25">
      <c r="A436" s="65" t="s">
        <v>337</v>
      </c>
      <c r="B436" s="65" t="s">
        <v>774</v>
      </c>
      <c r="C436" s="66">
        <v>21723.53</v>
      </c>
      <c r="D436" s="65" t="str">
        <f t="shared" si="6"/>
        <v>TaiwanMetal</v>
      </c>
    </row>
    <row r="437" spans="1:4" x14ac:dyDescent="0.25">
      <c r="A437" s="65" t="s">
        <v>318</v>
      </c>
      <c r="B437" s="65" t="s">
        <v>774</v>
      </c>
      <c r="C437" s="66">
        <v>13017.73</v>
      </c>
      <c r="D437" s="65" t="str">
        <f t="shared" si="6"/>
        <v>KazakhstanMetal</v>
      </c>
    </row>
    <row r="438" spans="1:4" x14ac:dyDescent="0.25">
      <c r="A438" s="65" t="s">
        <v>636</v>
      </c>
      <c r="B438" s="65" t="s">
        <v>774</v>
      </c>
      <c r="C438" s="66">
        <v>8503.77</v>
      </c>
      <c r="D438" s="65" t="str">
        <f t="shared" si="6"/>
        <v>UkraineMetal</v>
      </c>
    </row>
    <row r="439" spans="1:4" x14ac:dyDescent="0.25">
      <c r="A439" s="65" t="s">
        <v>161</v>
      </c>
      <c r="B439" s="65" t="s">
        <v>774</v>
      </c>
      <c r="C439" s="66">
        <v>54339.839999999997</v>
      </c>
      <c r="D439" s="65" t="str">
        <f t="shared" si="6"/>
        <v>AustraliaMetal</v>
      </c>
    </row>
    <row r="440" spans="1:4" x14ac:dyDescent="0.25">
      <c r="A440" s="65" t="s">
        <v>637</v>
      </c>
      <c r="B440" s="65" t="s">
        <v>774</v>
      </c>
      <c r="C440" s="66">
        <v>5447.09</v>
      </c>
      <c r="D440" s="65" t="str">
        <f t="shared" si="6"/>
        <v>UzbekistanMetal</v>
      </c>
    </row>
    <row r="441" spans="1:4" x14ac:dyDescent="0.25">
      <c r="A441" s="65" t="s">
        <v>638</v>
      </c>
      <c r="B441" s="65" t="s">
        <v>774</v>
      </c>
      <c r="C441" s="66">
        <v>7131.98</v>
      </c>
      <c r="D441" s="65" t="str">
        <f t="shared" si="6"/>
        <v>BangladeshMetal</v>
      </c>
    </row>
    <row r="442" spans="1:4" x14ac:dyDescent="0.25">
      <c r="A442" s="67" t="s">
        <v>216</v>
      </c>
      <c r="B442" s="65" t="s">
        <v>774</v>
      </c>
      <c r="C442" s="66">
        <v>23114.16</v>
      </c>
      <c r="D442" s="65" t="str">
        <f t="shared" si="6"/>
        <v>HungaryMetal</v>
      </c>
    </row>
    <row r="443" spans="1:4" x14ac:dyDescent="0.25">
      <c r="A443" s="67" t="s">
        <v>207</v>
      </c>
      <c r="B443" s="65" t="s">
        <v>774</v>
      </c>
      <c r="C443" s="66">
        <v>28020.61</v>
      </c>
      <c r="D443" s="65" t="str">
        <f t="shared" si="6"/>
        <v>BelgiumMetal</v>
      </c>
    </row>
    <row r="444" spans="1:4" x14ac:dyDescent="0.25">
      <c r="A444" s="65" t="s">
        <v>141</v>
      </c>
      <c r="B444" s="65" t="s">
        <v>774</v>
      </c>
      <c r="C444" s="66">
        <v>20601.23</v>
      </c>
      <c r="D444" s="65" t="str">
        <f t="shared" si="6"/>
        <v>ChileMetal</v>
      </c>
    </row>
    <row r="445" spans="1:4" x14ac:dyDescent="0.25">
      <c r="A445" s="65" t="s">
        <v>345</v>
      </c>
      <c r="B445" s="65" t="s">
        <v>774</v>
      </c>
      <c r="C445" s="66">
        <v>9640.56</v>
      </c>
      <c r="D445" s="65" t="str">
        <f t="shared" si="6"/>
        <v>United Arab EmiratesMetal</v>
      </c>
    </row>
    <row r="446" spans="1:4" x14ac:dyDescent="0.25">
      <c r="A446" s="65" t="s">
        <v>639</v>
      </c>
      <c r="B446" s="65" t="s">
        <v>774</v>
      </c>
      <c r="C446" s="66">
        <v>6823.21</v>
      </c>
      <c r="D446" s="65" t="str">
        <f t="shared" si="6"/>
        <v>TunisiaMetal</v>
      </c>
    </row>
    <row r="447" spans="1:4" x14ac:dyDescent="0.25">
      <c r="A447" s="67" t="s">
        <v>215</v>
      </c>
      <c r="B447" s="65" t="s">
        <v>774</v>
      </c>
      <c r="C447" s="66">
        <v>15573.13</v>
      </c>
      <c r="D447" s="65" t="str">
        <f t="shared" si="6"/>
        <v>GreeceMetal</v>
      </c>
    </row>
    <row r="448" spans="1:4" x14ac:dyDescent="0.25">
      <c r="A448" s="65" t="s">
        <v>640</v>
      </c>
      <c r="B448" s="65" t="s">
        <v>774</v>
      </c>
      <c r="C448" s="66">
        <v>3525.91</v>
      </c>
      <c r="D448" s="65" t="str">
        <f t="shared" si="6"/>
        <v>GhanaMetal</v>
      </c>
    </row>
    <row r="449" spans="1:4" x14ac:dyDescent="0.25">
      <c r="A449" s="65" t="s">
        <v>641</v>
      </c>
      <c r="B449" s="65" t="s">
        <v>774</v>
      </c>
      <c r="C449" s="66">
        <v>8686.4599999999991</v>
      </c>
      <c r="D449" s="65" t="str">
        <f t="shared" si="6"/>
        <v>Yemen, Rep.Metal</v>
      </c>
    </row>
    <row r="450" spans="1:4" x14ac:dyDescent="0.25">
      <c r="A450" s="65" t="s">
        <v>642</v>
      </c>
      <c r="B450" s="65" t="s">
        <v>774</v>
      </c>
      <c r="C450" s="66">
        <v>5261.26</v>
      </c>
      <c r="D450" s="65" t="str">
        <f t="shared" si="6"/>
        <v>MoroccoMetal</v>
      </c>
    </row>
    <row r="451" spans="1:4" x14ac:dyDescent="0.25">
      <c r="A451" s="65" t="s">
        <v>643</v>
      </c>
      <c r="B451" s="65" t="s">
        <v>774</v>
      </c>
      <c r="C451" s="66">
        <v>2294.4499999999998</v>
      </c>
      <c r="D451" s="65" t="str">
        <f t="shared" ref="D451:D514" si="7">A451&amp;B451</f>
        <v>EcuadorMetal</v>
      </c>
    </row>
    <row r="452" spans="1:4" x14ac:dyDescent="0.25">
      <c r="A452" s="67" t="s">
        <v>211</v>
      </c>
      <c r="B452" s="65" t="s">
        <v>774</v>
      </c>
      <c r="C452" s="66">
        <v>20932.71</v>
      </c>
      <c r="D452" s="65" t="str">
        <f t="shared" si="7"/>
        <v>Czech RepublicMetal</v>
      </c>
    </row>
    <row r="453" spans="1:4" x14ac:dyDescent="0.25">
      <c r="A453" s="67" t="s">
        <v>225</v>
      </c>
      <c r="B453" s="65" t="s">
        <v>774</v>
      </c>
      <c r="C453" s="66">
        <v>6764.93</v>
      </c>
      <c r="D453" s="65" t="str">
        <f t="shared" si="7"/>
        <v>PortugalMetal</v>
      </c>
    </row>
    <row r="454" spans="1:4" x14ac:dyDescent="0.25">
      <c r="A454" s="67" t="s">
        <v>232</v>
      </c>
      <c r="B454" s="65" t="s">
        <v>774</v>
      </c>
      <c r="C454" s="66">
        <v>13490.72</v>
      </c>
      <c r="D454" s="65" t="str">
        <f t="shared" si="7"/>
        <v>SwitzerlandMetal</v>
      </c>
    </row>
    <row r="455" spans="1:4" x14ac:dyDescent="0.25">
      <c r="A455" s="67" t="s">
        <v>223</v>
      </c>
      <c r="B455" s="65" t="s">
        <v>774</v>
      </c>
      <c r="C455" s="66">
        <v>34367.379999999997</v>
      </c>
      <c r="D455" s="65" t="str">
        <f t="shared" si="7"/>
        <v>NetherlandsMetal</v>
      </c>
    </row>
    <row r="456" spans="1:4" x14ac:dyDescent="0.25">
      <c r="A456" s="65" t="s">
        <v>321</v>
      </c>
      <c r="B456" s="65" t="s">
        <v>774</v>
      </c>
      <c r="C456" s="66">
        <v>18315.349999999999</v>
      </c>
      <c r="D456" s="65" t="str">
        <f t="shared" si="7"/>
        <v>MalaysiaMetal</v>
      </c>
    </row>
    <row r="457" spans="1:4" x14ac:dyDescent="0.25">
      <c r="A457" s="65" t="s">
        <v>644</v>
      </c>
      <c r="B457" s="65" t="s">
        <v>774</v>
      </c>
      <c r="C457" s="66">
        <v>4494.46</v>
      </c>
      <c r="D457" s="65" t="str">
        <f t="shared" si="7"/>
        <v>NepalMetal</v>
      </c>
    </row>
    <row r="458" spans="1:4" x14ac:dyDescent="0.25">
      <c r="A458" s="65" t="s">
        <v>645</v>
      </c>
      <c r="B458" s="65" t="s">
        <v>774</v>
      </c>
      <c r="C458" s="66">
        <v>10447.18</v>
      </c>
      <c r="D458" s="65" t="str">
        <f t="shared" si="7"/>
        <v>GuatemalaMetal</v>
      </c>
    </row>
    <row r="459" spans="1:4" x14ac:dyDescent="0.25">
      <c r="A459" s="67" t="s">
        <v>208</v>
      </c>
      <c r="B459" s="65" t="s">
        <v>774</v>
      </c>
      <c r="C459" s="66">
        <v>8236.4599999999991</v>
      </c>
      <c r="D459" s="65" t="str">
        <f t="shared" si="7"/>
        <v>BulgariaMetal</v>
      </c>
    </row>
    <row r="460" spans="1:4" x14ac:dyDescent="0.25">
      <c r="A460" s="67" t="s">
        <v>206</v>
      </c>
      <c r="B460" s="65" t="s">
        <v>774</v>
      </c>
      <c r="C460" s="66">
        <v>19167.36</v>
      </c>
      <c r="D460" s="65" t="str">
        <f t="shared" si="7"/>
        <v>AustriaMetal</v>
      </c>
    </row>
    <row r="461" spans="1:4" x14ac:dyDescent="0.25">
      <c r="A461" s="65" t="s">
        <v>313</v>
      </c>
      <c r="B461" s="65" t="s">
        <v>774</v>
      </c>
      <c r="C461" s="66">
        <v>13097</v>
      </c>
      <c r="D461" s="65" t="str">
        <f t="shared" si="7"/>
        <v>IsraelMetal</v>
      </c>
    </row>
    <row r="462" spans="1:4" x14ac:dyDescent="0.25">
      <c r="A462" s="65" t="s">
        <v>646</v>
      </c>
      <c r="B462" s="65" t="s">
        <v>774</v>
      </c>
      <c r="C462" s="66">
        <v>5507.55</v>
      </c>
      <c r="D462" s="65" t="str">
        <f t="shared" si="7"/>
        <v>SerbiaMetal</v>
      </c>
    </row>
    <row r="463" spans="1:4" x14ac:dyDescent="0.25">
      <c r="A463" s="65" t="s">
        <v>647</v>
      </c>
      <c r="B463" s="65" t="s">
        <v>774</v>
      </c>
      <c r="C463" s="66">
        <v>2043.27</v>
      </c>
      <c r="D463" s="65" t="str">
        <f t="shared" si="7"/>
        <v>Dominican RepublicMetal</v>
      </c>
    </row>
    <row r="464" spans="1:4" x14ac:dyDescent="0.25">
      <c r="A464" s="65" t="s">
        <v>648</v>
      </c>
      <c r="B464" s="65" t="s">
        <v>774</v>
      </c>
      <c r="C464" s="66">
        <v>3232.44</v>
      </c>
      <c r="D464" s="65" t="str">
        <f t="shared" si="7"/>
        <v>BoliviaMetal</v>
      </c>
    </row>
    <row r="465" spans="1:4" x14ac:dyDescent="0.25">
      <c r="A465" s="65" t="s">
        <v>649</v>
      </c>
      <c r="B465" s="65" t="s">
        <v>774</v>
      </c>
      <c r="C465" s="66">
        <v>5144.51</v>
      </c>
      <c r="D465" s="65" t="str">
        <f t="shared" si="7"/>
        <v>HondurasMetal</v>
      </c>
    </row>
    <row r="466" spans="1:4" x14ac:dyDescent="0.25">
      <c r="A466" s="65" t="s">
        <v>650</v>
      </c>
      <c r="B466" s="65" t="s">
        <v>774</v>
      </c>
      <c r="C466" s="66">
        <v>1318.25</v>
      </c>
      <c r="D466" s="65" t="str">
        <f t="shared" si="7"/>
        <v>BelarusMetal</v>
      </c>
    </row>
    <row r="467" spans="1:4" x14ac:dyDescent="0.25">
      <c r="A467" s="65" t="s">
        <v>651</v>
      </c>
      <c r="B467" s="65" t="s">
        <v>774</v>
      </c>
      <c r="C467" s="66">
        <v>4613.22</v>
      </c>
      <c r="D467" s="65" t="str">
        <f t="shared" si="7"/>
        <v>KenyaMetal</v>
      </c>
    </row>
    <row r="468" spans="1:4" x14ac:dyDescent="0.25">
      <c r="A468" s="65" t="s">
        <v>652</v>
      </c>
      <c r="B468" s="65" t="s">
        <v>774</v>
      </c>
      <c r="C468" s="66">
        <v>4921.4799999999996</v>
      </c>
      <c r="D468" s="65" t="str">
        <f t="shared" si="7"/>
        <v>TanzaniaMetal</v>
      </c>
    </row>
    <row r="469" spans="1:4" x14ac:dyDescent="0.25">
      <c r="A469" s="65" t="s">
        <v>291</v>
      </c>
      <c r="B469" s="65" t="s">
        <v>774</v>
      </c>
      <c r="C469" s="66">
        <v>39932.58</v>
      </c>
      <c r="D469" s="65" t="str">
        <f t="shared" si="7"/>
        <v>CambodiaMetal</v>
      </c>
    </row>
    <row r="470" spans="1:4" x14ac:dyDescent="0.25">
      <c r="A470" s="65" t="s">
        <v>653</v>
      </c>
      <c r="B470" s="65" t="s">
        <v>774</v>
      </c>
      <c r="C470" s="66">
        <v>4856.93</v>
      </c>
      <c r="D470" s="65" t="str">
        <f t="shared" si="7"/>
        <v>UgandaMetal</v>
      </c>
    </row>
    <row r="471" spans="1:4" x14ac:dyDescent="0.25">
      <c r="A471" s="67" t="s">
        <v>230</v>
      </c>
      <c r="B471" s="65" t="s">
        <v>774</v>
      </c>
      <c r="C471" s="66">
        <v>25291.75</v>
      </c>
      <c r="D471" s="65" t="str">
        <f t="shared" si="7"/>
        <v>SwedenMetal</v>
      </c>
    </row>
    <row r="472" spans="1:4" x14ac:dyDescent="0.25">
      <c r="A472" s="67" t="s">
        <v>654</v>
      </c>
      <c r="B472" s="65" t="s">
        <v>774</v>
      </c>
      <c r="C472" s="66">
        <v>9093.98</v>
      </c>
      <c r="D472" s="65" t="str">
        <f t="shared" si="7"/>
        <v>Slovak RepublicMetal</v>
      </c>
    </row>
    <row r="473" spans="1:4" x14ac:dyDescent="0.25">
      <c r="A473" s="65" t="s">
        <v>655</v>
      </c>
      <c r="B473" s="65" t="s">
        <v>774</v>
      </c>
      <c r="C473" s="66">
        <v>6466.74</v>
      </c>
      <c r="D473" s="65" t="str">
        <f t="shared" si="7"/>
        <v>KuwaitMetal</v>
      </c>
    </row>
    <row r="474" spans="1:4" x14ac:dyDescent="0.25">
      <c r="A474" s="65" t="s">
        <v>656</v>
      </c>
      <c r="B474" s="65" t="s">
        <v>774</v>
      </c>
      <c r="C474" s="66">
        <v>5370.59</v>
      </c>
      <c r="D474" s="65" t="str">
        <f t="shared" si="7"/>
        <v>AzerbaijanMetal</v>
      </c>
    </row>
    <row r="475" spans="1:4" x14ac:dyDescent="0.25">
      <c r="A475" s="65" t="s">
        <v>657</v>
      </c>
      <c r="B475" s="65" t="s">
        <v>774</v>
      </c>
      <c r="C475" s="66">
        <v>11461.69</v>
      </c>
      <c r="D475" s="65" t="str">
        <f t="shared" si="7"/>
        <v>AngolaMetal</v>
      </c>
    </row>
    <row r="476" spans="1:4" x14ac:dyDescent="0.25">
      <c r="A476" s="65" t="s">
        <v>658</v>
      </c>
      <c r="B476" s="65" t="s">
        <v>774</v>
      </c>
      <c r="C476" s="66">
        <v>3084.57</v>
      </c>
      <c r="D476" s="65" t="str">
        <f t="shared" si="7"/>
        <v>Congo, Dem. Rep.Metal</v>
      </c>
    </row>
    <row r="477" spans="1:4" x14ac:dyDescent="0.25">
      <c r="A477" s="65" t="s">
        <v>659</v>
      </c>
      <c r="B477" s="65" t="s">
        <v>774</v>
      </c>
      <c r="C477" s="66">
        <v>6860.09</v>
      </c>
      <c r="D477" s="65" t="str">
        <f t="shared" si="7"/>
        <v>JordanMetal</v>
      </c>
    </row>
    <row r="478" spans="1:4" x14ac:dyDescent="0.25">
      <c r="A478" s="65" t="s">
        <v>660</v>
      </c>
      <c r="B478" s="65" t="s">
        <v>774</v>
      </c>
      <c r="C478" s="66">
        <v>9281.26</v>
      </c>
      <c r="D478" s="65" t="str">
        <f t="shared" si="7"/>
        <v>Hong KongMetal</v>
      </c>
    </row>
    <row r="479" spans="1:4" x14ac:dyDescent="0.25">
      <c r="A479" s="67" t="s">
        <v>217</v>
      </c>
      <c r="B479" s="65" t="s">
        <v>774</v>
      </c>
      <c r="C479" s="66">
        <v>15176.81</v>
      </c>
      <c r="D479" s="65" t="str">
        <f t="shared" si="7"/>
        <v>Republic of IrelandMetal</v>
      </c>
    </row>
    <row r="480" spans="1:4" x14ac:dyDescent="0.25">
      <c r="A480" s="65" t="s">
        <v>661</v>
      </c>
      <c r="B480" s="65" t="s">
        <v>774</v>
      </c>
      <c r="C480" s="66">
        <v>3148.24</v>
      </c>
      <c r="D480" s="65" t="str">
        <f t="shared" si="7"/>
        <v>QatarMetal</v>
      </c>
    </row>
    <row r="481" spans="1:4" x14ac:dyDescent="0.25">
      <c r="A481" s="65" t="s">
        <v>662</v>
      </c>
      <c r="B481" s="65" t="s">
        <v>774</v>
      </c>
      <c r="C481" s="66">
        <v>978.26</v>
      </c>
      <c r="D481" s="65" t="str">
        <f t="shared" si="7"/>
        <v>UruguayMetal</v>
      </c>
    </row>
    <row r="482" spans="1:4" x14ac:dyDescent="0.25">
      <c r="A482" s="67" t="s">
        <v>212</v>
      </c>
      <c r="B482" s="65" t="s">
        <v>774</v>
      </c>
      <c r="C482" s="66">
        <v>20073.89</v>
      </c>
      <c r="D482" s="65" t="str">
        <f t="shared" si="7"/>
        <v>DenmarkMetal</v>
      </c>
    </row>
    <row r="483" spans="1:4" x14ac:dyDescent="0.25">
      <c r="A483" s="67" t="s">
        <v>231</v>
      </c>
      <c r="B483" s="65" t="s">
        <v>774</v>
      </c>
      <c r="C483" s="66">
        <v>15488.91</v>
      </c>
      <c r="D483" s="65" t="str">
        <f t="shared" si="7"/>
        <v>NorwayMetal</v>
      </c>
    </row>
    <row r="484" spans="1:4" x14ac:dyDescent="0.25">
      <c r="A484" s="65" t="s">
        <v>663</v>
      </c>
      <c r="B484" s="65" t="s">
        <v>774</v>
      </c>
      <c r="C484" s="66">
        <v>437.07</v>
      </c>
      <c r="D484" s="65" t="str">
        <f t="shared" si="7"/>
        <v>SudanMetal</v>
      </c>
    </row>
    <row r="485" spans="1:4" x14ac:dyDescent="0.25">
      <c r="A485" s="65" t="s">
        <v>664</v>
      </c>
      <c r="B485" s="65" t="s">
        <v>774</v>
      </c>
      <c r="C485" s="66">
        <v>1686.73</v>
      </c>
      <c r="D485" s="65" t="str">
        <f t="shared" si="7"/>
        <v>GeorgiaMetal</v>
      </c>
    </row>
    <row r="486" spans="1:4" x14ac:dyDescent="0.25">
      <c r="A486" s="67" t="s">
        <v>209</v>
      </c>
      <c r="B486" s="65" t="s">
        <v>774</v>
      </c>
      <c r="C486" s="66">
        <v>3246.52</v>
      </c>
      <c r="D486" s="65" t="str">
        <f t="shared" si="7"/>
        <v>CroatiaMetal</v>
      </c>
    </row>
    <row r="487" spans="1:4" x14ac:dyDescent="0.25">
      <c r="A487" s="65" t="s">
        <v>665</v>
      </c>
      <c r="B487" s="65" t="s">
        <v>774</v>
      </c>
      <c r="C487" s="66">
        <v>706.22</v>
      </c>
      <c r="D487" s="65" t="str">
        <f t="shared" si="7"/>
        <v>KyrgyzstanMetal</v>
      </c>
    </row>
    <row r="488" spans="1:4" x14ac:dyDescent="0.25">
      <c r="A488" s="65" t="s">
        <v>666</v>
      </c>
      <c r="B488" s="65" t="s">
        <v>774</v>
      </c>
      <c r="C488" s="66">
        <v>7734.73</v>
      </c>
      <c r="D488" s="65" t="str">
        <f t="shared" si="7"/>
        <v>Puerto RicoMetal</v>
      </c>
    </row>
    <row r="489" spans="1:4" x14ac:dyDescent="0.25">
      <c r="A489" s="65" t="s">
        <v>667</v>
      </c>
      <c r="B489" s="65" t="s">
        <v>774</v>
      </c>
      <c r="C489" s="66">
        <v>4127.6099999999997</v>
      </c>
      <c r="D489" s="65" t="str">
        <f t="shared" si="7"/>
        <v>OmanMetal</v>
      </c>
    </row>
    <row r="490" spans="1:4" x14ac:dyDescent="0.25">
      <c r="A490" s="65" t="s">
        <v>668</v>
      </c>
      <c r="B490" s="65" t="s">
        <v>774</v>
      </c>
      <c r="C490" s="66">
        <v>4454.45</v>
      </c>
      <c r="D490" s="65" t="str">
        <f t="shared" si="7"/>
        <v>El SalvadorMetal</v>
      </c>
    </row>
    <row r="491" spans="1:4" x14ac:dyDescent="0.25">
      <c r="A491" s="65" t="s">
        <v>669</v>
      </c>
      <c r="B491" s="65" t="s">
        <v>774</v>
      </c>
      <c r="C491" s="66">
        <v>3773.79</v>
      </c>
      <c r="D491" s="65" t="str">
        <f t="shared" si="7"/>
        <v>ParaguayMetal</v>
      </c>
    </row>
    <row r="492" spans="1:4" x14ac:dyDescent="0.25">
      <c r="A492" s="65" t="s">
        <v>670</v>
      </c>
      <c r="B492" s="65" t="s">
        <v>774</v>
      </c>
      <c r="C492" s="66">
        <v>1162.03</v>
      </c>
      <c r="D492" s="65" t="str">
        <f t="shared" si="7"/>
        <v>VenezuelaMetal</v>
      </c>
    </row>
    <row r="493" spans="1:4" x14ac:dyDescent="0.25">
      <c r="A493" s="65" t="s">
        <v>671</v>
      </c>
      <c r="B493" s="65" t="s">
        <v>774</v>
      </c>
      <c r="C493" s="66">
        <v>6807.01</v>
      </c>
      <c r="D493" s="65" t="str">
        <f t="shared" si="7"/>
        <v>New ZealandMetal</v>
      </c>
    </row>
    <row r="494" spans="1:4" x14ac:dyDescent="0.25">
      <c r="A494" s="65" t="s">
        <v>672</v>
      </c>
      <c r="B494" s="65" t="s">
        <v>774</v>
      </c>
      <c r="C494" s="66">
        <v>4378.62</v>
      </c>
      <c r="D494" s="65" t="str">
        <f t="shared" si="7"/>
        <v>LebanonMetal</v>
      </c>
    </row>
    <row r="495" spans="1:4" x14ac:dyDescent="0.25">
      <c r="A495" s="65" t="s">
        <v>303</v>
      </c>
      <c r="B495" s="65" t="s">
        <v>774</v>
      </c>
      <c r="C495" s="66">
        <v>9120.01</v>
      </c>
      <c r="D495" s="65" t="str">
        <f t="shared" si="7"/>
        <v>EthiopiaMetal</v>
      </c>
    </row>
    <row r="496" spans="1:4" x14ac:dyDescent="0.25">
      <c r="A496" s="67" t="s">
        <v>214</v>
      </c>
      <c r="B496" s="65" t="s">
        <v>774</v>
      </c>
      <c r="C496" s="66">
        <v>16566.27</v>
      </c>
      <c r="D496" s="65" t="str">
        <f t="shared" si="7"/>
        <v>FinlandMetal</v>
      </c>
    </row>
    <row r="497" spans="1:4" x14ac:dyDescent="0.25">
      <c r="A497" s="65" t="s">
        <v>673</v>
      </c>
      <c r="B497" s="65" t="s">
        <v>774</v>
      </c>
      <c r="C497" s="66">
        <v>2151.92</v>
      </c>
      <c r="D497" s="65" t="str">
        <f t="shared" si="7"/>
        <v>JamaicaMetal</v>
      </c>
    </row>
    <row r="498" spans="1:4" x14ac:dyDescent="0.25">
      <c r="A498" s="65" t="s">
        <v>674</v>
      </c>
      <c r="B498" s="65" t="s">
        <v>774</v>
      </c>
      <c r="C498" s="66">
        <v>3961.83</v>
      </c>
      <c r="D498" s="65" t="str">
        <f t="shared" si="7"/>
        <v>Costa RicaMetal</v>
      </c>
    </row>
    <row r="499" spans="1:4" x14ac:dyDescent="0.25">
      <c r="A499" s="67" t="s">
        <v>220</v>
      </c>
      <c r="B499" s="65" t="s">
        <v>774</v>
      </c>
      <c r="C499" s="66">
        <v>3532.91</v>
      </c>
      <c r="D499" s="65" t="str">
        <f t="shared" si="7"/>
        <v>LithuaniaMetal</v>
      </c>
    </row>
    <row r="500" spans="1:4" x14ac:dyDescent="0.25">
      <c r="A500" s="65" t="s">
        <v>675</v>
      </c>
      <c r="B500" s="65" t="s">
        <v>774</v>
      </c>
      <c r="C500" s="66">
        <v>11276.92</v>
      </c>
      <c r="D500" s="65" t="str">
        <f t="shared" si="7"/>
        <v>SingaporeMetal</v>
      </c>
    </row>
    <row r="501" spans="1:4" x14ac:dyDescent="0.25">
      <c r="A501" s="65" t="s">
        <v>676</v>
      </c>
      <c r="B501" s="65" t="s">
        <v>774</v>
      </c>
      <c r="C501" s="66">
        <v>1129.58</v>
      </c>
      <c r="D501" s="65" t="str">
        <f t="shared" si="7"/>
        <v>TajikistanMetal</v>
      </c>
    </row>
    <row r="502" spans="1:4" x14ac:dyDescent="0.25">
      <c r="A502" s="65" t="s">
        <v>677</v>
      </c>
      <c r="B502" s="65" t="s">
        <v>774</v>
      </c>
      <c r="C502" s="66">
        <v>802.38</v>
      </c>
      <c r="D502" s="65" t="str">
        <f t="shared" si="7"/>
        <v>Bosnia HerzegovinaMetal</v>
      </c>
    </row>
    <row r="503" spans="1:4" x14ac:dyDescent="0.25">
      <c r="A503" s="65" t="s">
        <v>678</v>
      </c>
      <c r="B503" s="65" t="s">
        <v>774</v>
      </c>
      <c r="C503" s="66">
        <v>1923.37</v>
      </c>
      <c r="D503" s="65" t="str">
        <f t="shared" si="7"/>
        <v>NicaraguaMetal</v>
      </c>
    </row>
    <row r="504" spans="1:4" x14ac:dyDescent="0.25">
      <c r="A504" s="65" t="s">
        <v>679</v>
      </c>
      <c r="B504" s="65" t="s">
        <v>774</v>
      </c>
      <c r="C504" s="66">
        <v>9989.34</v>
      </c>
      <c r="D504" s="65" t="str">
        <f t="shared" si="7"/>
        <v>LaosMetal</v>
      </c>
    </row>
    <row r="505" spans="1:4" x14ac:dyDescent="0.25">
      <c r="A505" s="65" t="s">
        <v>680</v>
      </c>
      <c r="B505" s="65" t="s">
        <v>774</v>
      </c>
      <c r="C505" s="66">
        <v>697.69</v>
      </c>
      <c r="D505" s="65" t="str">
        <f t="shared" si="7"/>
        <v>North MacedoniaMetal</v>
      </c>
    </row>
    <row r="506" spans="1:4" x14ac:dyDescent="0.25">
      <c r="A506" s="65" t="s">
        <v>681</v>
      </c>
      <c r="B506" s="65" t="s">
        <v>774</v>
      </c>
      <c r="C506" s="66">
        <v>2340.1799999999998</v>
      </c>
      <c r="D506" s="65" t="str">
        <f t="shared" si="7"/>
        <v>Papua New GuineaMetal</v>
      </c>
    </row>
    <row r="507" spans="1:4" x14ac:dyDescent="0.25">
      <c r="A507" s="65" t="s">
        <v>682</v>
      </c>
      <c r="B507" s="65" t="s">
        <v>774</v>
      </c>
      <c r="C507" s="66">
        <v>1128.23</v>
      </c>
      <c r="D507" s="65" t="str">
        <f t="shared" si="7"/>
        <v>Sri LankaMetal</v>
      </c>
    </row>
    <row r="508" spans="1:4" x14ac:dyDescent="0.25">
      <c r="A508" s="65" t="s">
        <v>683</v>
      </c>
      <c r="B508" s="65" t="s">
        <v>774</v>
      </c>
      <c r="C508" s="66">
        <v>2187.77</v>
      </c>
      <c r="D508" s="65" t="str">
        <f t="shared" si="7"/>
        <v>HaitiMetal</v>
      </c>
    </row>
    <row r="509" spans="1:4" x14ac:dyDescent="0.25">
      <c r="A509" s="65" t="s">
        <v>684</v>
      </c>
      <c r="B509" s="65" t="s">
        <v>774</v>
      </c>
      <c r="C509" s="66">
        <v>571.21</v>
      </c>
      <c r="D509" s="65" t="str">
        <f t="shared" si="7"/>
        <v>TurkmenistanMetal</v>
      </c>
    </row>
    <row r="510" spans="1:4" x14ac:dyDescent="0.25">
      <c r="A510" s="65" t="s">
        <v>685</v>
      </c>
      <c r="B510" s="65" t="s">
        <v>774</v>
      </c>
      <c r="C510" s="66">
        <v>4705</v>
      </c>
      <c r="D510" s="65" t="str">
        <f t="shared" si="7"/>
        <v>PanamaMetal</v>
      </c>
    </row>
    <row r="511" spans="1:4" x14ac:dyDescent="0.25">
      <c r="A511" s="65" t="s">
        <v>686</v>
      </c>
      <c r="B511" s="65" t="s">
        <v>774</v>
      </c>
      <c r="C511" s="66">
        <v>3447.95</v>
      </c>
      <c r="D511" s="65" t="str">
        <f t="shared" si="7"/>
        <v>ZambiaMetal</v>
      </c>
    </row>
    <row r="512" spans="1:4" x14ac:dyDescent="0.25">
      <c r="A512" s="65" t="s">
        <v>687</v>
      </c>
      <c r="B512" s="65" t="s">
        <v>774</v>
      </c>
      <c r="C512" s="66">
        <v>1901.43</v>
      </c>
      <c r="D512" s="65" t="str">
        <f t="shared" si="7"/>
        <v>BahrainMetal</v>
      </c>
    </row>
    <row r="513" spans="1:4" x14ac:dyDescent="0.25">
      <c r="A513" s="65" t="s">
        <v>688</v>
      </c>
      <c r="B513" s="65" t="s">
        <v>774</v>
      </c>
      <c r="C513" s="66">
        <v>449.75</v>
      </c>
      <c r="D513" s="65" t="str">
        <f t="shared" si="7"/>
        <v>MoldovaMetal</v>
      </c>
    </row>
    <row r="514" spans="1:4" x14ac:dyDescent="0.25">
      <c r="A514" s="67" t="s">
        <v>228</v>
      </c>
      <c r="B514" s="65" t="s">
        <v>774</v>
      </c>
      <c r="C514" s="66">
        <v>4336.6499999999996</v>
      </c>
      <c r="D514" s="65" t="str">
        <f t="shared" si="7"/>
        <v>SloveniaMetal</v>
      </c>
    </row>
    <row r="515" spans="1:4" x14ac:dyDescent="0.25">
      <c r="A515" s="65" t="s">
        <v>689</v>
      </c>
      <c r="B515" s="65" t="s">
        <v>774</v>
      </c>
      <c r="C515" s="66">
        <v>1881.65</v>
      </c>
      <c r="D515" s="65" t="str">
        <f t="shared" ref="D515:D578" si="8">A515&amp;B515</f>
        <v>KosovoMetal</v>
      </c>
    </row>
    <row r="516" spans="1:4" x14ac:dyDescent="0.25">
      <c r="A516" s="65" t="s">
        <v>690</v>
      </c>
      <c r="B516" s="65" t="s">
        <v>774</v>
      </c>
      <c r="C516" s="66">
        <v>924.74</v>
      </c>
      <c r="D516" s="65" t="str">
        <f t="shared" si="8"/>
        <v>Trinidad and TobagoMetal</v>
      </c>
    </row>
    <row r="517" spans="1:4" x14ac:dyDescent="0.25">
      <c r="A517" s="67" t="s">
        <v>219</v>
      </c>
      <c r="B517" s="65" t="s">
        <v>774</v>
      </c>
      <c r="C517" s="66">
        <v>2549.21</v>
      </c>
      <c r="D517" s="65" t="str">
        <f t="shared" si="8"/>
        <v>LatviaMetal</v>
      </c>
    </row>
    <row r="518" spans="1:4" x14ac:dyDescent="0.25">
      <c r="A518" s="65" t="s">
        <v>691</v>
      </c>
      <c r="B518" s="65" t="s">
        <v>774</v>
      </c>
      <c r="C518" s="66">
        <v>1617.73</v>
      </c>
      <c r="D518" s="65" t="str">
        <f t="shared" si="8"/>
        <v>MozambiqueMetal</v>
      </c>
    </row>
    <row r="519" spans="1:4" x14ac:dyDescent="0.25">
      <c r="A519" s="65" t="s">
        <v>692</v>
      </c>
      <c r="B519" s="65" t="s">
        <v>774</v>
      </c>
      <c r="C519" s="66">
        <v>961.6</v>
      </c>
      <c r="D519" s="65" t="str">
        <f t="shared" si="8"/>
        <v>AlbaniaMetal</v>
      </c>
    </row>
    <row r="520" spans="1:4" x14ac:dyDescent="0.25">
      <c r="A520" s="65" t="s">
        <v>693</v>
      </c>
      <c r="B520" s="65" t="s">
        <v>774</v>
      </c>
      <c r="C520" s="66">
        <v>1260.04</v>
      </c>
      <c r="D520" s="65" t="str">
        <f t="shared" si="8"/>
        <v>SyriaMetal</v>
      </c>
    </row>
    <row r="521" spans="1:4" x14ac:dyDescent="0.25">
      <c r="A521" s="65" t="s">
        <v>694</v>
      </c>
      <c r="B521" s="65" t="s">
        <v>774</v>
      </c>
      <c r="C521" s="66">
        <v>1134.1600000000001</v>
      </c>
      <c r="D521" s="65" t="str">
        <f t="shared" si="8"/>
        <v>MadagascarMetal</v>
      </c>
    </row>
    <row r="522" spans="1:4" x14ac:dyDescent="0.25">
      <c r="A522" s="65" t="s">
        <v>695</v>
      </c>
      <c r="B522" s="65" t="s">
        <v>774</v>
      </c>
      <c r="C522" s="66">
        <v>7745.53</v>
      </c>
      <c r="D522" s="65" t="str">
        <f t="shared" si="8"/>
        <v>CubaMetal</v>
      </c>
    </row>
    <row r="523" spans="1:4" x14ac:dyDescent="0.25">
      <c r="A523" s="65" t="s">
        <v>696</v>
      </c>
      <c r="B523" s="65" t="s">
        <v>774</v>
      </c>
      <c r="C523" s="66">
        <v>877.31</v>
      </c>
      <c r="D523" s="65" t="str">
        <f t="shared" si="8"/>
        <v>Cote dIvoireMetal</v>
      </c>
    </row>
    <row r="524" spans="1:4" x14ac:dyDescent="0.25">
      <c r="A524" s="65" t="s">
        <v>697</v>
      </c>
      <c r="B524" s="65" t="s">
        <v>774</v>
      </c>
      <c r="C524" s="66">
        <v>764.73</v>
      </c>
      <c r="D524" s="65" t="str">
        <f t="shared" si="8"/>
        <v>ArmeniaMetal</v>
      </c>
    </row>
    <row r="525" spans="1:4" x14ac:dyDescent="0.25">
      <c r="A525" s="65" t="s">
        <v>698</v>
      </c>
      <c r="B525" s="65" t="s">
        <v>774</v>
      </c>
      <c r="C525" s="66">
        <v>2127.7800000000002</v>
      </c>
      <c r="D525" s="65" t="str">
        <f t="shared" si="8"/>
        <v>CameroonMetal</v>
      </c>
    </row>
    <row r="526" spans="1:4" x14ac:dyDescent="0.25">
      <c r="A526" s="67" t="s">
        <v>222</v>
      </c>
      <c r="B526" s="65" t="s">
        <v>774</v>
      </c>
      <c r="C526" s="66">
        <v>601.55999999999995</v>
      </c>
      <c r="D526" s="65" t="str">
        <f t="shared" si="8"/>
        <v>MaltaMetal</v>
      </c>
    </row>
    <row r="527" spans="1:4" x14ac:dyDescent="0.25">
      <c r="A527" s="65" t="s">
        <v>699</v>
      </c>
      <c r="B527" s="65" t="s">
        <v>774</v>
      </c>
      <c r="C527" s="66">
        <v>830.42</v>
      </c>
      <c r="D527" s="65" t="str">
        <f t="shared" si="8"/>
        <v>NigerMetal</v>
      </c>
    </row>
    <row r="528" spans="1:4" x14ac:dyDescent="0.25">
      <c r="A528" s="65" t="s">
        <v>700</v>
      </c>
      <c r="B528" s="65" t="s">
        <v>774</v>
      </c>
      <c r="C528" s="66">
        <v>1262.58</v>
      </c>
      <c r="D528" s="65" t="str">
        <f t="shared" si="8"/>
        <v>Burkina FasoMetal</v>
      </c>
    </row>
    <row r="529" spans="1:4" x14ac:dyDescent="0.25">
      <c r="A529" s="65" t="s">
        <v>701</v>
      </c>
      <c r="B529" s="65" t="s">
        <v>774</v>
      </c>
      <c r="C529" s="66">
        <v>730.81</v>
      </c>
      <c r="D529" s="65" t="str">
        <f t="shared" si="8"/>
        <v>MaliMetal</v>
      </c>
    </row>
    <row r="530" spans="1:4" x14ac:dyDescent="0.25">
      <c r="A530" s="65" t="s">
        <v>702</v>
      </c>
      <c r="B530" s="65" t="s">
        <v>774</v>
      </c>
      <c r="C530" s="66">
        <v>692.17</v>
      </c>
      <c r="D530" s="65" t="str">
        <f t="shared" si="8"/>
        <v>MalawiMetal</v>
      </c>
    </row>
    <row r="531" spans="1:4" x14ac:dyDescent="0.25">
      <c r="A531" s="67" t="s">
        <v>210</v>
      </c>
      <c r="B531" s="65" t="s">
        <v>774</v>
      </c>
      <c r="C531" s="66">
        <v>1485.61</v>
      </c>
      <c r="D531" s="65" t="str">
        <f t="shared" si="8"/>
        <v>CyprusMetal</v>
      </c>
    </row>
    <row r="532" spans="1:4" x14ac:dyDescent="0.25">
      <c r="A532" s="67" t="s">
        <v>213</v>
      </c>
      <c r="B532" s="65" t="s">
        <v>774</v>
      </c>
      <c r="C532" s="66">
        <v>3233.55</v>
      </c>
      <c r="D532" s="65" t="str">
        <f t="shared" si="8"/>
        <v>EstoniaMetal</v>
      </c>
    </row>
    <row r="533" spans="1:4" x14ac:dyDescent="0.25">
      <c r="A533" s="65" t="s">
        <v>703</v>
      </c>
      <c r="B533" s="65" t="s">
        <v>774</v>
      </c>
      <c r="C533" s="66">
        <v>604.70000000000005</v>
      </c>
      <c r="D533" s="65" t="str">
        <f t="shared" si="8"/>
        <v>SenegalMetal</v>
      </c>
    </row>
    <row r="534" spans="1:4" x14ac:dyDescent="0.25">
      <c r="A534" s="65" t="s">
        <v>704</v>
      </c>
      <c r="B534" s="65" t="s">
        <v>774</v>
      </c>
      <c r="C534" s="66">
        <v>637.28</v>
      </c>
      <c r="D534" s="65" t="str">
        <f t="shared" si="8"/>
        <v>ChadMetal</v>
      </c>
    </row>
    <row r="535" spans="1:4" x14ac:dyDescent="0.25">
      <c r="A535" s="67" t="s">
        <v>221</v>
      </c>
      <c r="B535" s="65" t="s">
        <v>774</v>
      </c>
      <c r="C535" s="66">
        <v>1421.13</v>
      </c>
      <c r="D535" s="65" t="str">
        <f t="shared" si="8"/>
        <v>LuxembourgMetal</v>
      </c>
    </row>
    <row r="536" spans="1:4" x14ac:dyDescent="0.25">
      <c r="A536" s="65" t="s">
        <v>705</v>
      </c>
      <c r="B536" s="65" t="s">
        <v>774</v>
      </c>
      <c r="C536" s="66">
        <v>1452.74</v>
      </c>
      <c r="D536" s="65" t="str">
        <f t="shared" si="8"/>
        <v>MongoliaMetal</v>
      </c>
    </row>
    <row r="537" spans="1:4" x14ac:dyDescent="0.25">
      <c r="A537" s="65" t="s">
        <v>706</v>
      </c>
      <c r="B537" s="65" t="s">
        <v>774</v>
      </c>
      <c r="C537" s="66">
        <v>1912.69</v>
      </c>
      <c r="D537" s="65" t="str">
        <f t="shared" si="8"/>
        <v>ZimbabweMetal</v>
      </c>
    </row>
    <row r="538" spans="1:4" x14ac:dyDescent="0.25">
      <c r="A538" s="65" t="s">
        <v>707</v>
      </c>
      <c r="B538" s="65" t="s">
        <v>774</v>
      </c>
      <c r="C538" s="66">
        <v>467.77</v>
      </c>
      <c r="D538" s="65" t="str">
        <f t="shared" si="8"/>
        <v>MontenegroMetal</v>
      </c>
    </row>
    <row r="539" spans="1:4" x14ac:dyDescent="0.25">
      <c r="A539" s="65" t="s">
        <v>708</v>
      </c>
      <c r="B539" s="65" t="s">
        <v>774</v>
      </c>
      <c r="C539" s="66">
        <v>498.07</v>
      </c>
      <c r="D539" s="65" t="str">
        <f t="shared" si="8"/>
        <v>GuineaMetal</v>
      </c>
    </row>
    <row r="540" spans="1:4" x14ac:dyDescent="0.25">
      <c r="A540" s="65" t="s">
        <v>709</v>
      </c>
      <c r="B540" s="65" t="s">
        <v>774</v>
      </c>
      <c r="C540" s="66">
        <v>786</v>
      </c>
      <c r="D540" s="65" t="str">
        <f t="shared" si="8"/>
        <v>RwandaMetal</v>
      </c>
    </row>
    <row r="541" spans="1:4" x14ac:dyDescent="0.25">
      <c r="A541" s="65" t="s">
        <v>710</v>
      </c>
      <c r="B541" s="65" t="s">
        <v>774</v>
      </c>
      <c r="C541" s="66">
        <v>620.32000000000005</v>
      </c>
      <c r="D541" s="65" t="str">
        <f t="shared" si="8"/>
        <v>BeninMetal</v>
      </c>
    </row>
    <row r="542" spans="1:4" x14ac:dyDescent="0.25">
      <c r="A542" s="65" t="s">
        <v>711</v>
      </c>
      <c r="B542" s="65" t="s">
        <v>774</v>
      </c>
      <c r="C542" s="66">
        <v>787.38</v>
      </c>
      <c r="D542" s="65" t="str">
        <f t="shared" si="8"/>
        <v>BurundiMetal</v>
      </c>
    </row>
    <row r="543" spans="1:4" x14ac:dyDescent="0.25">
      <c r="A543" s="65" t="s">
        <v>712</v>
      </c>
      <c r="B543" s="65" t="s">
        <v>774</v>
      </c>
      <c r="C543" s="66">
        <v>142.57</v>
      </c>
      <c r="D543" s="65" t="str">
        <f t="shared" si="8"/>
        <v>Bahamas, TheMetal</v>
      </c>
    </row>
    <row r="544" spans="1:4" x14ac:dyDescent="0.25">
      <c r="A544" s="65" t="s">
        <v>713</v>
      </c>
      <c r="B544" s="65" t="s">
        <v>774</v>
      </c>
      <c r="C544" s="66">
        <v>294.25</v>
      </c>
      <c r="D544" s="65" t="str">
        <f t="shared" si="8"/>
        <v>GuyanaMetal</v>
      </c>
    </row>
    <row r="545" spans="1:4" x14ac:dyDescent="0.25">
      <c r="A545" s="65" t="s">
        <v>714</v>
      </c>
      <c r="B545" s="65" t="s">
        <v>774</v>
      </c>
      <c r="C545" s="66">
        <v>339.99</v>
      </c>
      <c r="D545" s="65" t="str">
        <f t="shared" si="8"/>
        <v>South SudanMetal</v>
      </c>
    </row>
    <row r="546" spans="1:4" x14ac:dyDescent="0.25">
      <c r="A546" s="65" t="s">
        <v>715</v>
      </c>
      <c r="B546" s="65" t="s">
        <v>774</v>
      </c>
      <c r="C546" s="66">
        <v>165.07</v>
      </c>
      <c r="D546" s="65" t="str">
        <f t="shared" si="8"/>
        <v>BelizeMetal</v>
      </c>
    </row>
    <row r="547" spans="1:4" x14ac:dyDescent="0.25">
      <c r="A547" s="65" t="s">
        <v>716</v>
      </c>
      <c r="B547" s="65" t="s">
        <v>774</v>
      </c>
      <c r="C547" s="66">
        <v>382.15</v>
      </c>
      <c r="D547" s="65" t="str">
        <f t="shared" si="8"/>
        <v>TogoMetal</v>
      </c>
    </row>
    <row r="548" spans="1:4" x14ac:dyDescent="0.25">
      <c r="A548" s="65" t="s">
        <v>717</v>
      </c>
      <c r="B548" s="65" t="s">
        <v>774</v>
      </c>
      <c r="C548" s="66">
        <v>288.68</v>
      </c>
      <c r="D548" s="65" t="str">
        <f t="shared" si="8"/>
        <v>Sierra LeoneMetal</v>
      </c>
    </row>
    <row r="549" spans="1:4" x14ac:dyDescent="0.25">
      <c r="A549" s="65" t="s">
        <v>718</v>
      </c>
      <c r="B549" s="65" t="s">
        <v>774</v>
      </c>
      <c r="C549" s="66">
        <v>293.77999999999997</v>
      </c>
      <c r="D549" s="65" t="str">
        <f t="shared" si="8"/>
        <v>SurinameMetal</v>
      </c>
    </row>
    <row r="550" spans="1:4" x14ac:dyDescent="0.25">
      <c r="A550" s="67" t="s">
        <v>719</v>
      </c>
      <c r="B550" s="65" t="s">
        <v>774</v>
      </c>
      <c r="C550" s="66">
        <v>1455.25</v>
      </c>
      <c r="D550" s="65" t="str">
        <f t="shared" si="8"/>
        <v>IcelandMetal</v>
      </c>
    </row>
    <row r="551" spans="1:4" x14ac:dyDescent="0.25">
      <c r="A551" s="65" t="s">
        <v>720</v>
      </c>
      <c r="B551" s="65" t="s">
        <v>774</v>
      </c>
      <c r="C551" s="66">
        <v>167.94</v>
      </c>
      <c r="D551" s="65" t="str">
        <f t="shared" si="8"/>
        <v>BarbadosMetal</v>
      </c>
    </row>
    <row r="552" spans="1:4" x14ac:dyDescent="0.25">
      <c r="A552" s="65" t="s">
        <v>721</v>
      </c>
      <c r="B552" s="65" t="s">
        <v>774</v>
      </c>
      <c r="C552" s="66">
        <v>106.39</v>
      </c>
      <c r="D552" s="65" t="str">
        <f t="shared" si="8"/>
        <v>Timor LesteMetal</v>
      </c>
    </row>
    <row r="553" spans="1:4" x14ac:dyDescent="0.25">
      <c r="A553" s="65" t="s">
        <v>722</v>
      </c>
      <c r="B553" s="65" t="s">
        <v>774</v>
      </c>
      <c r="C553" s="66">
        <v>186</v>
      </c>
      <c r="D553" s="65" t="str">
        <f t="shared" si="8"/>
        <v>Congo, Rep.Metal</v>
      </c>
    </row>
    <row r="554" spans="1:4" x14ac:dyDescent="0.25">
      <c r="A554" s="65" t="s">
        <v>723</v>
      </c>
      <c r="B554" s="65" t="s">
        <v>774</v>
      </c>
      <c r="C554" s="66">
        <v>216.14</v>
      </c>
      <c r="D554" s="65" t="str">
        <f t="shared" si="8"/>
        <v>Central African RepublicMetal</v>
      </c>
    </row>
    <row r="555" spans="1:4" x14ac:dyDescent="0.25">
      <c r="A555" s="65" t="s">
        <v>724</v>
      </c>
      <c r="B555" s="65" t="s">
        <v>774</v>
      </c>
      <c r="C555" s="66">
        <v>219.47</v>
      </c>
      <c r="D555" s="65" t="str">
        <f t="shared" si="8"/>
        <v>LiberiaMetal</v>
      </c>
    </row>
    <row r="556" spans="1:4" x14ac:dyDescent="0.25">
      <c r="A556" s="65" t="s">
        <v>725</v>
      </c>
      <c r="B556" s="65" t="s">
        <v>774</v>
      </c>
      <c r="C556" s="66">
        <v>147.55000000000001</v>
      </c>
      <c r="D556" s="65" t="str">
        <f t="shared" si="8"/>
        <v>MauritaniaMetal</v>
      </c>
    </row>
    <row r="557" spans="1:4" x14ac:dyDescent="0.25">
      <c r="A557" s="65" t="s">
        <v>726</v>
      </c>
      <c r="B557" s="65" t="s">
        <v>774</v>
      </c>
      <c r="C557" s="66">
        <v>66.03</v>
      </c>
      <c r="D557" s="65" t="str">
        <f t="shared" si="8"/>
        <v>French GuianaMetal</v>
      </c>
    </row>
    <row r="558" spans="1:4" x14ac:dyDescent="0.25">
      <c r="A558" s="65" t="s">
        <v>727</v>
      </c>
      <c r="B558" s="65" t="s">
        <v>774</v>
      </c>
      <c r="C558" s="66">
        <v>245.95</v>
      </c>
      <c r="D558" s="65" t="str">
        <f t="shared" si="8"/>
        <v>FijiMetal</v>
      </c>
    </row>
    <row r="559" spans="1:4" x14ac:dyDescent="0.25">
      <c r="A559" s="65" t="s">
        <v>728</v>
      </c>
      <c r="B559" s="65" t="s">
        <v>774</v>
      </c>
      <c r="C559" s="66">
        <v>99.78</v>
      </c>
      <c r="D559" s="65" t="str">
        <f t="shared" si="8"/>
        <v>CuracaoMetal</v>
      </c>
    </row>
    <row r="560" spans="1:4" x14ac:dyDescent="0.25">
      <c r="A560" s="65" t="s">
        <v>729</v>
      </c>
      <c r="B560" s="65" t="s">
        <v>774</v>
      </c>
      <c r="C560" s="66">
        <v>569.17999999999995</v>
      </c>
      <c r="D560" s="65" t="str">
        <f t="shared" si="8"/>
        <v>BhutanMetal</v>
      </c>
    </row>
    <row r="561" spans="1:4" x14ac:dyDescent="0.25">
      <c r="A561" s="65" t="s">
        <v>730</v>
      </c>
      <c r="B561" s="65" t="s">
        <v>774</v>
      </c>
      <c r="C561" s="66">
        <v>219.5</v>
      </c>
      <c r="D561" s="65" t="str">
        <f t="shared" si="8"/>
        <v>EritreaMetal</v>
      </c>
    </row>
    <row r="562" spans="1:4" x14ac:dyDescent="0.25">
      <c r="A562" s="65" t="s">
        <v>731</v>
      </c>
      <c r="B562" s="65" t="s">
        <v>774</v>
      </c>
      <c r="C562" s="66">
        <v>59.56</v>
      </c>
      <c r="D562" s="65" t="str">
        <f t="shared" si="8"/>
        <v>St. LuciaMetal</v>
      </c>
    </row>
    <row r="563" spans="1:4" x14ac:dyDescent="0.25">
      <c r="A563" s="65" t="s">
        <v>732</v>
      </c>
      <c r="B563" s="65" t="s">
        <v>774</v>
      </c>
      <c r="C563" s="66">
        <v>165.75</v>
      </c>
      <c r="D563" s="65" t="str">
        <f t="shared" si="8"/>
        <v>Solomon IslandsMetal</v>
      </c>
    </row>
    <row r="564" spans="1:4" x14ac:dyDescent="0.25">
      <c r="A564" s="65" t="s">
        <v>733</v>
      </c>
      <c r="B564" s="65" t="s">
        <v>774</v>
      </c>
      <c r="C564" s="66">
        <v>63.97</v>
      </c>
      <c r="D564" s="65" t="str">
        <f t="shared" si="8"/>
        <v>ArubaMetal</v>
      </c>
    </row>
    <row r="565" spans="1:4" x14ac:dyDescent="0.25">
      <c r="A565" s="65" t="s">
        <v>734</v>
      </c>
      <c r="B565" s="65" t="s">
        <v>774</v>
      </c>
      <c r="C565" s="66">
        <v>84.3</v>
      </c>
      <c r="D565" s="65" t="str">
        <f t="shared" si="8"/>
        <v>Gambia, TheMetal</v>
      </c>
    </row>
    <row r="566" spans="1:4" x14ac:dyDescent="0.25">
      <c r="A566" s="65" t="s">
        <v>735</v>
      </c>
      <c r="B566" s="65" t="s">
        <v>774</v>
      </c>
      <c r="C566" s="66">
        <v>984.95</v>
      </c>
      <c r="D566" s="65" t="str">
        <f t="shared" si="8"/>
        <v>BotswanaMetal</v>
      </c>
    </row>
    <row r="567" spans="1:4" x14ac:dyDescent="0.25">
      <c r="A567" s="65" t="s">
        <v>736</v>
      </c>
      <c r="B567" s="65" t="s">
        <v>774</v>
      </c>
      <c r="C567" s="66">
        <v>399.25</v>
      </c>
      <c r="D567" s="65" t="str">
        <f t="shared" si="8"/>
        <v>NamibiaMetal</v>
      </c>
    </row>
    <row r="568" spans="1:4" x14ac:dyDescent="0.25">
      <c r="A568" s="65" t="s">
        <v>737</v>
      </c>
      <c r="B568" s="65" t="s">
        <v>774</v>
      </c>
      <c r="C568" s="66">
        <v>41.54</v>
      </c>
      <c r="D568" s="65" t="str">
        <f t="shared" si="8"/>
        <v>MaldivesMetal</v>
      </c>
    </row>
    <row r="569" spans="1:4" x14ac:dyDescent="0.25">
      <c r="A569" s="65" t="s">
        <v>738</v>
      </c>
      <c r="B569" s="65" t="s">
        <v>774</v>
      </c>
      <c r="C569" s="66">
        <v>46</v>
      </c>
      <c r="D569" s="65" t="str">
        <f t="shared" si="8"/>
        <v>Brunei DarussalamMetal</v>
      </c>
    </row>
    <row r="570" spans="1:4" x14ac:dyDescent="0.25">
      <c r="A570" s="65" t="s">
        <v>739</v>
      </c>
      <c r="B570" s="65" t="s">
        <v>774</v>
      </c>
      <c r="C570" s="66">
        <v>360.79</v>
      </c>
      <c r="D570" s="65" t="str">
        <f t="shared" si="8"/>
        <v>GabonMetal</v>
      </c>
    </row>
    <row r="571" spans="1:4" x14ac:dyDescent="0.25">
      <c r="A571" s="65" t="s">
        <v>740</v>
      </c>
      <c r="B571" s="65" t="s">
        <v>774</v>
      </c>
      <c r="C571" s="66">
        <v>163.33000000000001</v>
      </c>
      <c r="D571" s="65" t="str">
        <f t="shared" si="8"/>
        <v>LesothoMetal</v>
      </c>
    </row>
    <row r="572" spans="1:4" x14ac:dyDescent="0.25">
      <c r="A572" s="65" t="s">
        <v>741</v>
      </c>
      <c r="B572" s="65" t="s">
        <v>774</v>
      </c>
      <c r="C572" s="66">
        <v>65.599999999999994</v>
      </c>
      <c r="D572" s="65" t="str">
        <f t="shared" si="8"/>
        <v>Guinea-BissauMetal</v>
      </c>
    </row>
    <row r="573" spans="1:4" x14ac:dyDescent="0.25">
      <c r="A573" s="65" t="s">
        <v>742</v>
      </c>
      <c r="B573" s="65" t="s">
        <v>774</v>
      </c>
      <c r="C573" s="66">
        <v>55.13</v>
      </c>
      <c r="D573" s="65" t="str">
        <f t="shared" si="8"/>
        <v>St. Vincent and the GrenadinesMetal</v>
      </c>
    </row>
    <row r="574" spans="1:4" x14ac:dyDescent="0.25">
      <c r="A574" s="65" t="s">
        <v>743</v>
      </c>
      <c r="B574" s="65" t="s">
        <v>774</v>
      </c>
      <c r="C574" s="66">
        <v>44.11</v>
      </c>
      <c r="D574" s="65" t="str">
        <f t="shared" si="8"/>
        <v>GrenadaMetal</v>
      </c>
    </row>
    <row r="575" spans="1:4" x14ac:dyDescent="0.25">
      <c r="A575" s="65" t="s">
        <v>744</v>
      </c>
      <c r="B575" s="65" t="s">
        <v>774</v>
      </c>
      <c r="C575" s="66">
        <v>153.43</v>
      </c>
      <c r="D575" s="65" t="str">
        <f t="shared" si="8"/>
        <v>Equatorial GuineaMetal</v>
      </c>
    </row>
    <row r="576" spans="1:4" x14ac:dyDescent="0.25">
      <c r="A576" s="65" t="s">
        <v>745</v>
      </c>
      <c r="B576" s="65" t="s">
        <v>774</v>
      </c>
      <c r="C576" s="66">
        <v>41.41</v>
      </c>
      <c r="D576" s="65" t="str">
        <f t="shared" si="8"/>
        <v>BermudaMetal</v>
      </c>
    </row>
    <row r="577" spans="1:4" x14ac:dyDescent="0.25">
      <c r="A577" s="65" t="s">
        <v>746</v>
      </c>
      <c r="B577" s="65" t="s">
        <v>774</v>
      </c>
      <c r="C577" s="66">
        <v>57.97</v>
      </c>
      <c r="D577" s="65" t="str">
        <f t="shared" si="8"/>
        <v>AndorraMetal</v>
      </c>
    </row>
    <row r="578" spans="1:4" x14ac:dyDescent="0.25">
      <c r="A578" s="65" t="s">
        <v>747</v>
      </c>
      <c r="B578" s="65" t="s">
        <v>774</v>
      </c>
      <c r="C578" s="66">
        <v>23.88</v>
      </c>
      <c r="D578" s="65" t="str">
        <f t="shared" si="8"/>
        <v>DominicaMetal</v>
      </c>
    </row>
    <row r="579" spans="1:4" x14ac:dyDescent="0.25">
      <c r="A579" s="65" t="s">
        <v>748</v>
      </c>
      <c r="B579" s="65" t="s">
        <v>774</v>
      </c>
      <c r="C579" s="66">
        <v>30.99</v>
      </c>
      <c r="D579" s="65" t="str">
        <f t="shared" ref="D579:D604" si="9">A579&amp;B579</f>
        <v>St. Kitts and NevisMetal</v>
      </c>
    </row>
    <row r="580" spans="1:4" x14ac:dyDescent="0.25">
      <c r="A580" s="65" t="s">
        <v>749</v>
      </c>
      <c r="B580" s="65" t="s">
        <v>774</v>
      </c>
      <c r="C580" s="66">
        <v>41.64</v>
      </c>
      <c r="D580" s="65" t="str">
        <f t="shared" si="9"/>
        <v>Antigua and BarbudaMetal</v>
      </c>
    </row>
    <row r="581" spans="1:4" x14ac:dyDescent="0.25">
      <c r="A581" s="65" t="s">
        <v>750</v>
      </c>
      <c r="B581" s="65" t="s">
        <v>774</v>
      </c>
      <c r="C581" s="66">
        <v>124.26</v>
      </c>
      <c r="D581" s="65" t="str">
        <f t="shared" si="9"/>
        <v>French PolynesiaMetal</v>
      </c>
    </row>
    <row r="582" spans="1:4" x14ac:dyDescent="0.25">
      <c r="A582" s="65" t="s">
        <v>751</v>
      </c>
      <c r="B582" s="65" t="s">
        <v>774</v>
      </c>
      <c r="C582" s="66">
        <v>116.81</v>
      </c>
      <c r="D582" s="65" t="str">
        <f t="shared" si="9"/>
        <v>MauritiusMetal</v>
      </c>
    </row>
    <row r="583" spans="1:4" x14ac:dyDescent="0.25">
      <c r="A583" s="65" t="s">
        <v>752</v>
      </c>
      <c r="B583" s="65" t="s">
        <v>774</v>
      </c>
      <c r="C583" s="66">
        <v>101.07</v>
      </c>
      <c r="D583" s="65" t="str">
        <f t="shared" si="9"/>
        <v>New CaledoniaMetal</v>
      </c>
    </row>
    <row r="584" spans="1:4" x14ac:dyDescent="0.25">
      <c r="A584" s="65" t="s">
        <v>753</v>
      </c>
      <c r="B584" s="65" t="s">
        <v>774</v>
      </c>
      <c r="C584" s="66">
        <v>348.29</v>
      </c>
      <c r="D584" s="65" t="str">
        <f t="shared" si="9"/>
        <v>EswatiniMetal</v>
      </c>
    </row>
    <row r="585" spans="1:4" x14ac:dyDescent="0.25">
      <c r="A585" s="65" t="s">
        <v>754</v>
      </c>
      <c r="B585" s="65" t="s">
        <v>774</v>
      </c>
      <c r="C585" s="66">
        <v>34.92</v>
      </c>
      <c r="D585" s="65" t="str">
        <f t="shared" si="9"/>
        <v>DjiboutiMetal</v>
      </c>
    </row>
    <row r="586" spans="1:4" x14ac:dyDescent="0.25">
      <c r="A586" s="65" t="s">
        <v>755</v>
      </c>
      <c r="B586" s="65" t="s">
        <v>774</v>
      </c>
      <c r="C586" s="66">
        <v>39.29</v>
      </c>
      <c r="D586" s="65" t="str">
        <f t="shared" si="9"/>
        <v>GreenlandMetal</v>
      </c>
    </row>
    <row r="587" spans="1:4" x14ac:dyDescent="0.25">
      <c r="A587" s="65" t="s">
        <v>756</v>
      </c>
      <c r="B587" s="65" t="s">
        <v>774</v>
      </c>
      <c r="C587" s="66">
        <v>63.26</v>
      </c>
      <c r="D587" s="65" t="str">
        <f t="shared" si="9"/>
        <v>Faroe IslandsMetal</v>
      </c>
    </row>
    <row r="588" spans="1:4" x14ac:dyDescent="0.25">
      <c r="A588" s="65" t="s">
        <v>757</v>
      </c>
      <c r="B588" s="65" t="s">
        <v>774</v>
      </c>
      <c r="C588" s="66">
        <v>69.05</v>
      </c>
      <c r="D588" s="65" t="str">
        <f t="shared" si="9"/>
        <v>SamoaMetal</v>
      </c>
    </row>
    <row r="589" spans="1:4" x14ac:dyDescent="0.25">
      <c r="A589" s="65" t="s">
        <v>758</v>
      </c>
      <c r="B589" s="65" t="s">
        <v>774</v>
      </c>
      <c r="C589" s="66">
        <v>26.07</v>
      </c>
      <c r="D589" s="65" t="str">
        <f t="shared" si="9"/>
        <v>ComorosMetal</v>
      </c>
    </row>
    <row r="590" spans="1:4" x14ac:dyDescent="0.25">
      <c r="A590" s="65" t="s">
        <v>759</v>
      </c>
      <c r="B590" s="65" t="s">
        <v>774</v>
      </c>
      <c r="C590" s="66">
        <v>10.27</v>
      </c>
      <c r="D590" s="65" t="str">
        <f t="shared" si="9"/>
        <v>Turks and Caicos IslandsMetal</v>
      </c>
    </row>
    <row r="591" spans="1:4" x14ac:dyDescent="0.25">
      <c r="A591" s="65" t="s">
        <v>760</v>
      </c>
      <c r="B591" s="65" t="s">
        <v>774</v>
      </c>
      <c r="C591" s="66">
        <v>38.950000000000003</v>
      </c>
      <c r="D591" s="65" t="str">
        <f t="shared" si="9"/>
        <v>GuamMetal</v>
      </c>
    </row>
    <row r="592" spans="1:4" x14ac:dyDescent="0.25">
      <c r="A592" s="65" t="s">
        <v>761</v>
      </c>
      <c r="B592" s="65" t="s">
        <v>774</v>
      </c>
      <c r="C592" s="66">
        <v>26.74</v>
      </c>
      <c r="D592" s="65" t="str">
        <f t="shared" si="9"/>
        <v>LiechtensteinMetal</v>
      </c>
    </row>
    <row r="593" spans="1:4" x14ac:dyDescent="0.25">
      <c r="A593" s="65" t="s">
        <v>762</v>
      </c>
      <c r="B593" s="65" t="s">
        <v>774</v>
      </c>
      <c r="C593" s="66">
        <v>24.79</v>
      </c>
      <c r="D593" s="65" t="str">
        <f t="shared" si="9"/>
        <v>MonacoMetal</v>
      </c>
    </row>
    <row r="594" spans="1:4" x14ac:dyDescent="0.25">
      <c r="A594" s="65" t="s">
        <v>763</v>
      </c>
      <c r="B594" s="65" t="s">
        <v>774</v>
      </c>
      <c r="C594" s="66">
        <v>18.48</v>
      </c>
      <c r="D594" s="65" t="str">
        <f t="shared" si="9"/>
        <v>Cabo VerdeMetal</v>
      </c>
    </row>
    <row r="595" spans="1:4" x14ac:dyDescent="0.25">
      <c r="A595" s="65" t="s">
        <v>764</v>
      </c>
      <c r="B595" s="65" t="s">
        <v>774</v>
      </c>
      <c r="C595" s="66">
        <v>17.940000000000001</v>
      </c>
      <c r="D595" s="65" t="str">
        <f t="shared" si="9"/>
        <v>Western SaharaMetal</v>
      </c>
    </row>
    <row r="596" spans="1:4" x14ac:dyDescent="0.25">
      <c r="A596" s="65" t="s">
        <v>765</v>
      </c>
      <c r="B596" s="65" t="s">
        <v>774</v>
      </c>
      <c r="C596" s="66">
        <v>11.69</v>
      </c>
      <c r="D596" s="65" t="str">
        <f t="shared" si="9"/>
        <v>Cayman IslandsMetal</v>
      </c>
    </row>
    <row r="597" spans="1:4" x14ac:dyDescent="0.25">
      <c r="A597" s="65" t="s">
        <v>766</v>
      </c>
      <c r="B597" s="65" t="s">
        <v>774</v>
      </c>
      <c r="C597" s="66">
        <v>22.03</v>
      </c>
      <c r="D597" s="65" t="str">
        <f t="shared" si="9"/>
        <v>TongaMetal</v>
      </c>
    </row>
    <row r="598" spans="1:4" x14ac:dyDescent="0.25">
      <c r="A598" s="65" t="s">
        <v>767</v>
      </c>
      <c r="B598" s="65" t="s">
        <v>774</v>
      </c>
      <c r="C598" s="66">
        <v>12.73</v>
      </c>
      <c r="D598" s="65" t="str">
        <f t="shared" si="9"/>
        <v>KiribatiMetal</v>
      </c>
    </row>
    <row r="599" spans="1:4" x14ac:dyDescent="0.25">
      <c r="A599" s="65" t="s">
        <v>768</v>
      </c>
      <c r="B599" s="65" t="s">
        <v>774</v>
      </c>
      <c r="C599" s="66">
        <v>7.75</v>
      </c>
      <c r="D599" s="65" t="str">
        <f t="shared" si="9"/>
        <v>Micronesia, Fed. Sts.Metal</v>
      </c>
    </row>
    <row r="600" spans="1:4" x14ac:dyDescent="0.25">
      <c r="A600" s="65" t="s">
        <v>769</v>
      </c>
      <c r="B600" s="65" t="s">
        <v>774</v>
      </c>
      <c r="C600" s="66">
        <v>4.08</v>
      </c>
      <c r="D600" s="65" t="str">
        <f t="shared" si="9"/>
        <v>Marshall IslandsMetal</v>
      </c>
    </row>
    <row r="601" spans="1:4" x14ac:dyDescent="0.25">
      <c r="A601" s="65" t="s">
        <v>770</v>
      </c>
      <c r="B601" s="65" t="s">
        <v>774</v>
      </c>
      <c r="C601" s="66">
        <v>10.039999999999999</v>
      </c>
      <c r="D601" s="65" t="str">
        <f t="shared" si="9"/>
        <v>American SamoaMetal</v>
      </c>
    </row>
    <row r="602" spans="1:4" x14ac:dyDescent="0.25">
      <c r="A602" s="65" t="s">
        <v>771</v>
      </c>
      <c r="B602" s="65" t="s">
        <v>774</v>
      </c>
      <c r="C602" s="66">
        <v>14.75</v>
      </c>
      <c r="D602" s="65" t="str">
        <f t="shared" si="9"/>
        <v>SeychellesMetal</v>
      </c>
    </row>
    <row r="603" spans="1:4" x14ac:dyDescent="0.25">
      <c r="A603" s="65" t="s">
        <v>772</v>
      </c>
      <c r="B603" s="65" t="s">
        <v>774</v>
      </c>
      <c r="C603" s="66">
        <v>1.23</v>
      </c>
      <c r="D603" s="65" t="str">
        <f t="shared" si="9"/>
        <v>PalauMetal</v>
      </c>
    </row>
    <row r="604" spans="1:4" x14ac:dyDescent="0.25">
      <c r="A604" s="65" t="s">
        <v>773</v>
      </c>
      <c r="B604" s="65" t="s">
        <v>774</v>
      </c>
      <c r="C604" s="66">
        <v>2.2200000000000002</v>
      </c>
      <c r="D604" s="65" t="str">
        <f t="shared" si="9"/>
        <v>NauruMetal</v>
      </c>
    </row>
  </sheetData>
  <autoFilter ref="A1:D604" xr:uid="{54101D66-E8D0-4C77-95D3-70442B314C1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0988-FF1D-4748-B91D-63DCDB729273}">
  <sheetPr codeName="Sheet2"/>
  <dimension ref="B3:L11"/>
  <sheetViews>
    <sheetView workbookViewId="0"/>
  </sheetViews>
  <sheetFormatPr baseColWidth="10" defaultColWidth="8.81640625" defaultRowHeight="12.5" x14ac:dyDescent="0.25"/>
  <cols>
    <col min="5" max="7" width="21.1796875" customWidth="1"/>
    <col min="9" max="9" width="13" customWidth="1"/>
    <col min="11" max="11" width="21.453125" customWidth="1"/>
    <col min="12" max="12" width="18.81640625" customWidth="1"/>
    <col min="13" max="13" width="17.1796875" customWidth="1"/>
    <col min="14" max="14" width="19.453125" customWidth="1"/>
    <col min="15" max="15" width="17.81640625" customWidth="1"/>
  </cols>
  <sheetData>
    <row r="3" spans="2:12" x14ac:dyDescent="0.25">
      <c r="E3" t="s">
        <v>775</v>
      </c>
    </row>
    <row r="4" spans="2:12" ht="75" x14ac:dyDescent="0.25">
      <c r="B4" t="s">
        <v>495</v>
      </c>
      <c r="E4" t="s">
        <v>481</v>
      </c>
      <c r="F4" t="s">
        <v>776</v>
      </c>
      <c r="G4" t="s">
        <v>777</v>
      </c>
      <c r="I4" t="s">
        <v>778</v>
      </c>
      <c r="K4" t="s">
        <v>20</v>
      </c>
      <c r="L4" t="s">
        <v>779</v>
      </c>
    </row>
    <row r="5" spans="2:12" ht="62.5" x14ac:dyDescent="0.25">
      <c r="B5" t="s">
        <v>780</v>
      </c>
      <c r="F5" t="s">
        <v>781</v>
      </c>
      <c r="G5" t="s">
        <v>781</v>
      </c>
      <c r="I5" t="s">
        <v>265</v>
      </c>
      <c r="K5" t="s">
        <v>25</v>
      </c>
      <c r="L5" t="s">
        <v>282</v>
      </c>
    </row>
    <row r="6" spans="2:12" ht="62.5" x14ac:dyDescent="0.25">
      <c r="B6" t="s">
        <v>499</v>
      </c>
      <c r="F6" t="s">
        <v>782</v>
      </c>
      <c r="G6" t="s">
        <v>783</v>
      </c>
      <c r="I6" t="s">
        <v>784</v>
      </c>
      <c r="K6" t="s">
        <v>30</v>
      </c>
      <c r="L6" t="s">
        <v>785</v>
      </c>
    </row>
    <row r="7" spans="2:12" ht="25" x14ac:dyDescent="0.25">
      <c r="F7" t="s">
        <v>786</v>
      </c>
      <c r="G7" t="s">
        <v>787</v>
      </c>
      <c r="I7" t="s">
        <v>788</v>
      </c>
      <c r="K7" t="s">
        <v>35</v>
      </c>
      <c r="L7" t="s">
        <v>789</v>
      </c>
    </row>
    <row r="8" spans="2:12" ht="25" x14ac:dyDescent="0.25">
      <c r="F8" t="s">
        <v>790</v>
      </c>
      <c r="G8" t="s">
        <v>790</v>
      </c>
      <c r="I8" t="s">
        <v>791</v>
      </c>
      <c r="K8" t="s">
        <v>283</v>
      </c>
      <c r="L8" t="s">
        <v>792</v>
      </c>
    </row>
    <row r="9" spans="2:12" ht="37.5" x14ac:dyDescent="0.25">
      <c r="F9" t="s">
        <v>793</v>
      </c>
      <c r="G9" t="s">
        <v>46</v>
      </c>
      <c r="I9" t="s">
        <v>794</v>
      </c>
      <c r="L9" t="s">
        <v>795</v>
      </c>
    </row>
    <row r="10" spans="2:12" x14ac:dyDescent="0.25">
      <c r="F10" t="s">
        <v>46</v>
      </c>
      <c r="G10" t="s">
        <v>545</v>
      </c>
      <c r="I10" t="s">
        <v>545</v>
      </c>
      <c r="L10" t="s">
        <v>796</v>
      </c>
    </row>
    <row r="11" spans="2:12" ht="25" x14ac:dyDescent="0.25">
      <c r="F11" t="s">
        <v>545</v>
      </c>
      <c r="I11" t="s">
        <v>46</v>
      </c>
      <c r="L11" t="s">
        <v>797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EFA49-BC37-4925-BB8B-71BBF62F5469}">
  <sheetPr>
    <tabColor rgb="FFFFC000"/>
  </sheetPr>
  <dimension ref="B2:F30"/>
  <sheetViews>
    <sheetView workbookViewId="0"/>
  </sheetViews>
  <sheetFormatPr baseColWidth="10" defaultColWidth="8.81640625" defaultRowHeight="12.5" x14ac:dyDescent="0.25"/>
  <cols>
    <col min="3" max="3" width="8.81640625" bestFit="1" customWidth="1"/>
    <col min="4" max="4" width="10.1796875" customWidth="1"/>
    <col min="5" max="5" width="10.81640625" customWidth="1"/>
    <col min="6" max="6" width="11.81640625" customWidth="1"/>
  </cols>
  <sheetData>
    <row r="2" spans="2:6" ht="15.5" thickBot="1" x14ac:dyDescent="0.3">
      <c r="B2" s="4" t="s">
        <v>6</v>
      </c>
      <c r="C2" s="4"/>
      <c r="D2" s="4"/>
      <c r="E2" s="4"/>
      <c r="F2" s="4"/>
    </row>
    <row r="3" spans="2:6" ht="13" thickTop="1" x14ac:dyDescent="0.25"/>
    <row r="4" spans="2:6" ht="14.5" thickBot="1" x14ac:dyDescent="0.3">
      <c r="B4" s="49" t="s">
        <v>798</v>
      </c>
      <c r="C4" s="49"/>
      <c r="D4" s="49"/>
    </row>
    <row r="5" spans="2:6" ht="25" x14ac:dyDescent="0.25">
      <c r="C5" s="2" t="s">
        <v>799</v>
      </c>
      <c r="D5" s="2" t="s">
        <v>800</v>
      </c>
      <c r="E5" s="2" t="s">
        <v>801</v>
      </c>
      <c r="F5" s="2" t="s">
        <v>777</v>
      </c>
    </row>
    <row r="6" spans="2:6" x14ac:dyDescent="0.25">
      <c r="B6" s="108" t="s">
        <v>44</v>
      </c>
      <c r="C6" s="3">
        <f>[1]Aluminium!$D$22</f>
        <v>779000</v>
      </c>
      <c r="D6" s="3">
        <f>[1]Aluminium!$F$22</f>
        <v>646176.15295292635</v>
      </c>
      <c r="E6" s="3">
        <f>[1]Aluminium!$H$22</f>
        <v>580355</v>
      </c>
      <c r="F6" s="37">
        <f t="shared" ref="F6:F10" si="0">E6/C6</f>
        <v>0.745</v>
      </c>
    </row>
    <row r="7" spans="2:6" x14ac:dyDescent="0.25">
      <c r="B7" s="108" t="s">
        <v>101</v>
      </c>
      <c r="C7" s="3">
        <f>[1]Aluminium!$D$44</f>
        <v>1400693.23856</v>
      </c>
      <c r="D7" s="3">
        <f>[1]Aluminium!$F$44</f>
        <v>602298.09258079994</v>
      </c>
      <c r="E7" s="3">
        <f>[1]Aluminium!$H$44</f>
        <v>540946.47090016399</v>
      </c>
      <c r="F7" s="37">
        <f t="shared" si="0"/>
        <v>0.38619910199344626</v>
      </c>
    </row>
    <row r="8" spans="2:6" x14ac:dyDescent="0.25">
      <c r="B8" s="108" t="s">
        <v>65</v>
      </c>
      <c r="C8" s="3">
        <f>[1]Aluminium!$D$28</f>
        <v>314645</v>
      </c>
      <c r="D8" s="3">
        <f>[1]Aluminium!$F$28</f>
        <v>314015.71000000002</v>
      </c>
      <c r="E8" s="3">
        <f>[1]Aluminium!$H$28</f>
        <v>282029.26793914993</v>
      </c>
      <c r="F8" s="37">
        <f t="shared" si="0"/>
        <v>0.8963411716033941</v>
      </c>
    </row>
    <row r="9" spans="2:6" x14ac:dyDescent="0.25">
      <c r="B9" s="108" t="s">
        <v>60</v>
      </c>
      <c r="C9" s="3">
        <f>[1]Aluminium!$D$14</f>
        <v>326075.50949999999</v>
      </c>
      <c r="D9" s="3">
        <f>[1]Aluminium!$F$14</f>
        <v>325097.28297150001</v>
      </c>
      <c r="E9" s="3">
        <f>[1]Aluminium!$H$14</f>
        <v>291982.04359093634</v>
      </c>
      <c r="F9" s="37">
        <f>E9/C9</f>
        <v>0.89544303415689785</v>
      </c>
    </row>
    <row r="10" spans="2:6" x14ac:dyDescent="0.25">
      <c r="B10" s="108" t="s">
        <v>45</v>
      </c>
      <c r="C10" s="3">
        <f>[1]Aluminium!$D$18</f>
        <v>672078.02025000006</v>
      </c>
      <c r="D10" s="3">
        <f>[1]Aluminium!$F$18</f>
        <v>658636.45984500006</v>
      </c>
      <c r="E10" s="3">
        <f>[1]Aluminium!$H$18</f>
        <v>604450.36477157683</v>
      </c>
      <c r="F10" s="37">
        <f t="shared" si="0"/>
        <v>0.89937529060499988</v>
      </c>
    </row>
    <row r="11" spans="2:6" ht="13" thickBot="1" x14ac:dyDescent="0.3">
      <c r="C11" s="29">
        <f>SUM(C6:C10)</f>
        <v>3492491.7683100002</v>
      </c>
      <c r="D11" s="29">
        <f>SUM(D6:D10)</f>
        <v>2546223.698350226</v>
      </c>
      <c r="E11" s="29">
        <f>SUM(E6:E10)</f>
        <v>2299763.1472018268</v>
      </c>
      <c r="F11" s="37">
        <f>E11/C11</f>
        <v>0.65848777886015486</v>
      </c>
    </row>
    <row r="12" spans="2:6" ht="13" thickTop="1" x14ac:dyDescent="0.25"/>
    <row r="13" spans="2:6" ht="14.5" thickBot="1" x14ac:dyDescent="0.3">
      <c r="B13" s="49" t="s">
        <v>802</v>
      </c>
      <c r="C13" s="49"/>
      <c r="D13" s="49"/>
    </row>
    <row r="14" spans="2:6" ht="25" x14ac:dyDescent="0.25">
      <c r="C14" s="2" t="s">
        <v>799</v>
      </c>
      <c r="D14" s="2" t="s">
        <v>800</v>
      </c>
      <c r="E14" s="2" t="s">
        <v>801</v>
      </c>
      <c r="F14" s="2" t="s">
        <v>777</v>
      </c>
    </row>
    <row r="15" spans="2:6" x14ac:dyDescent="0.25">
      <c r="B15" s="108" t="s">
        <v>44</v>
      </c>
      <c r="C15" s="3" t="e">
        <f>Aluminium!#REF!</f>
        <v>#REF!</v>
      </c>
      <c r="D15" s="3" t="e">
        <f>Aluminium!#REF!</f>
        <v>#REF!</v>
      </c>
      <c r="E15" s="3" t="e">
        <f>Aluminium!#REF!</f>
        <v>#REF!</v>
      </c>
      <c r="F15" s="37" t="e">
        <f t="shared" ref="F15:F19" si="1">E15/C15</f>
        <v>#REF!</v>
      </c>
    </row>
    <row r="16" spans="2:6" x14ac:dyDescent="0.25">
      <c r="B16" s="108" t="s">
        <v>101</v>
      </c>
      <c r="C16" s="3" t="e">
        <f>Aluminium!#REF!</f>
        <v>#REF!</v>
      </c>
      <c r="D16" s="3" t="e">
        <f>Aluminium!#REF!</f>
        <v>#REF!</v>
      </c>
      <c r="E16" s="3" t="e">
        <f>Aluminium!#REF!</f>
        <v>#REF!</v>
      </c>
      <c r="F16" s="37" t="e">
        <f t="shared" si="1"/>
        <v>#REF!</v>
      </c>
    </row>
    <row r="17" spans="2:6" x14ac:dyDescent="0.25">
      <c r="B17" s="108" t="s">
        <v>65</v>
      </c>
      <c r="C17" s="3" t="e">
        <f>Aluminium!#REF!</f>
        <v>#REF!</v>
      </c>
      <c r="D17" s="3" t="e">
        <f>Aluminium!#REF!</f>
        <v>#REF!</v>
      </c>
      <c r="E17" s="3" t="e">
        <f>Aluminium!#REF!</f>
        <v>#REF!</v>
      </c>
      <c r="F17" s="37" t="e">
        <f t="shared" si="1"/>
        <v>#REF!</v>
      </c>
    </row>
    <row r="18" spans="2:6" x14ac:dyDescent="0.25">
      <c r="B18" s="108" t="s">
        <v>60</v>
      </c>
      <c r="C18" s="3" t="e">
        <f>Aluminium!#REF!</f>
        <v>#REF!</v>
      </c>
      <c r="D18" s="3" t="e">
        <f>Aluminium!#REF!</f>
        <v>#REF!</v>
      </c>
      <c r="E18" s="3" t="e">
        <f>Aluminium!#REF!</f>
        <v>#REF!</v>
      </c>
      <c r="F18" s="37" t="e">
        <f>E18/C18</f>
        <v>#REF!</v>
      </c>
    </row>
    <row r="19" spans="2:6" x14ac:dyDescent="0.25">
      <c r="B19" s="108" t="s">
        <v>45</v>
      </c>
      <c r="C19" s="3" t="e">
        <f>Aluminium!#REF!</f>
        <v>#REF!</v>
      </c>
      <c r="D19" s="3" t="e">
        <f>Aluminium!#REF!</f>
        <v>#REF!</v>
      </c>
      <c r="E19" s="3" t="e">
        <f>Aluminium!#REF!</f>
        <v>#REF!</v>
      </c>
      <c r="F19" s="37" t="e">
        <f t="shared" si="1"/>
        <v>#REF!</v>
      </c>
    </row>
    <row r="20" spans="2:6" ht="13" thickBot="1" x14ac:dyDescent="0.3">
      <c r="C20" s="29" t="e">
        <f>SUM(C15:C19)</f>
        <v>#REF!</v>
      </c>
      <c r="D20" s="29" t="e">
        <f>SUM(D15:D19)</f>
        <v>#REF!</v>
      </c>
      <c r="E20" s="29" t="e">
        <f>SUM(E15:E19)</f>
        <v>#REF!</v>
      </c>
      <c r="F20" s="37" t="e">
        <f>E20/C20</f>
        <v>#REF!</v>
      </c>
    </row>
    <row r="21" spans="2:6" ht="13" thickTop="1" x14ac:dyDescent="0.25"/>
    <row r="22" spans="2:6" ht="14.5" thickBot="1" x14ac:dyDescent="0.3">
      <c r="B22" s="49" t="s">
        <v>803</v>
      </c>
      <c r="C22" s="49"/>
      <c r="D22" s="49"/>
    </row>
    <row r="23" spans="2:6" ht="25" x14ac:dyDescent="0.25">
      <c r="C23" s="2" t="s">
        <v>799</v>
      </c>
      <c r="D23" s="2" t="s">
        <v>800</v>
      </c>
      <c r="E23" s="2" t="s">
        <v>801</v>
      </c>
      <c r="F23" s="2" t="s">
        <v>777</v>
      </c>
    </row>
    <row r="24" spans="2:6" x14ac:dyDescent="0.25">
      <c r="B24" s="108" t="s">
        <v>44</v>
      </c>
      <c r="C24" s="3">
        <v>644195.25065963063</v>
      </c>
      <c r="D24" s="3">
        <f>SUM([2]Sheet1!G15:H15)</f>
        <v>491918.53918274178</v>
      </c>
      <c r="E24" s="3">
        <f>[2]Sheet1!Y15</f>
        <v>488300.37349274021</v>
      </c>
      <c r="F24" s="37">
        <f t="shared" ref="F24:F28" si="2">E24/C24</f>
        <v>0.75800057978189039</v>
      </c>
    </row>
    <row r="25" spans="2:6" x14ac:dyDescent="0.25">
      <c r="B25" s="108" t="s">
        <v>101</v>
      </c>
      <c r="C25" s="3">
        <v>1244414</v>
      </c>
      <c r="D25" s="3">
        <f>SUM([2]Sheet1!G16:H16)</f>
        <v>647804.52484718757</v>
      </c>
      <c r="E25" s="3">
        <f>[2]Sheet1!Y16</f>
        <v>573936.69082548725</v>
      </c>
      <c r="F25" s="37">
        <f t="shared" si="2"/>
        <v>0.46121040973943339</v>
      </c>
    </row>
    <row r="26" spans="2:6" x14ac:dyDescent="0.25">
      <c r="B26" s="108" t="s">
        <v>65</v>
      </c>
      <c r="C26" s="3">
        <v>330000</v>
      </c>
      <c r="D26" s="3">
        <f>SUM([2]Sheet1!G17:H17)</f>
        <v>329000</v>
      </c>
      <c r="E26" s="3">
        <f>[2]Sheet1!Y17</f>
        <v>324000</v>
      </c>
      <c r="F26" s="37">
        <f t="shared" si="2"/>
        <v>0.98181818181818181</v>
      </c>
    </row>
    <row r="27" spans="2:6" x14ac:dyDescent="0.25">
      <c r="B27" s="108" t="s">
        <v>60</v>
      </c>
      <c r="C27" s="3">
        <v>375700</v>
      </c>
      <c r="D27" s="3">
        <f>SUM([2]Sheet1!G18:H18)</f>
        <v>370440.2</v>
      </c>
      <c r="E27" s="3">
        <f>[2]Sheet1!Y18</f>
        <v>366735.79800000001</v>
      </c>
      <c r="F27" s="37">
        <f>E27/C27</f>
        <v>0.97614000000000001</v>
      </c>
    </row>
    <row r="28" spans="2:6" x14ac:dyDescent="0.25">
      <c r="B28" s="108" t="s">
        <v>45</v>
      </c>
      <c r="C28" s="3">
        <v>1150000</v>
      </c>
      <c r="D28" s="3">
        <f>SUM([2]Sheet1!G19:H19)</f>
        <v>1127000</v>
      </c>
      <c r="E28" s="3">
        <f>[2]Sheet1!Y19</f>
        <v>1093956.9350000001</v>
      </c>
      <c r="F28" s="37">
        <f t="shared" si="2"/>
        <v>0.95126690000000003</v>
      </c>
    </row>
    <row r="29" spans="2:6" ht="13" thickBot="1" x14ac:dyDescent="0.3">
      <c r="C29" s="29">
        <f>SUM(C24:C28)</f>
        <v>3744309.2506596306</v>
      </c>
      <c r="D29" s="29">
        <f>SUM(D24:D28)</f>
        <v>2966163.2640299294</v>
      </c>
      <c r="E29" s="29">
        <f>SUM(E24:E28)</f>
        <v>2846929.7973182276</v>
      </c>
      <c r="F29" s="37">
        <f>E29/C29</f>
        <v>0.76033511302964285</v>
      </c>
    </row>
    <row r="30" spans="2:6" ht="13" thickTop="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830D9-E0FA-4E79-8011-A0011DF9655C}">
  <sheetPr>
    <tabColor theme="0"/>
  </sheetPr>
  <dimension ref="B2:G17"/>
  <sheetViews>
    <sheetView workbookViewId="0"/>
  </sheetViews>
  <sheetFormatPr baseColWidth="10" defaultColWidth="8.81640625" defaultRowHeight="12.5" x14ac:dyDescent="0.25"/>
  <cols>
    <col min="3" max="3" width="22" customWidth="1"/>
    <col min="4" max="4" width="55.1796875" customWidth="1"/>
    <col min="5" max="5" width="27.1796875" customWidth="1"/>
    <col min="6" max="7" width="55.1796875" customWidth="1"/>
  </cols>
  <sheetData>
    <row r="2" spans="2:7" ht="15.5" thickBot="1" x14ac:dyDescent="0.3">
      <c r="B2" s="4" t="s">
        <v>13</v>
      </c>
      <c r="C2" s="4"/>
      <c r="D2" s="4"/>
      <c r="E2" s="4"/>
      <c r="F2" s="4"/>
      <c r="G2" s="4"/>
    </row>
    <row r="3" spans="2:7" ht="13" thickTop="1" x14ac:dyDescent="0.25"/>
    <row r="4" spans="2:7" x14ac:dyDescent="0.25">
      <c r="C4" s="1" t="s">
        <v>14</v>
      </c>
      <c r="D4" s="1" t="s">
        <v>5</v>
      </c>
    </row>
    <row r="5" spans="2:7" x14ac:dyDescent="0.25">
      <c r="B5" s="35"/>
      <c r="C5" s="31"/>
      <c r="D5" s="3" t="s">
        <v>15</v>
      </c>
    </row>
    <row r="6" spans="2:7" x14ac:dyDescent="0.25">
      <c r="C6" s="21"/>
      <c r="D6" s="3" t="s">
        <v>16</v>
      </c>
    </row>
    <row r="7" spans="2:7" x14ac:dyDescent="0.25">
      <c r="C7" s="33"/>
      <c r="D7" s="3" t="s">
        <v>17</v>
      </c>
    </row>
    <row r="8" spans="2:7" x14ac:dyDescent="0.25">
      <c r="C8" s="38"/>
      <c r="D8" s="3" t="s">
        <v>18</v>
      </c>
    </row>
    <row r="9" spans="2:7" x14ac:dyDescent="0.25">
      <c r="C9" s="41"/>
      <c r="D9" s="3" t="s">
        <v>19</v>
      </c>
    </row>
    <row r="11" spans="2:7" ht="15.5" thickBot="1" x14ac:dyDescent="0.3">
      <c r="B11" s="4" t="s">
        <v>20</v>
      </c>
      <c r="C11" s="4"/>
      <c r="D11" s="4"/>
      <c r="E11" s="4"/>
      <c r="F11" s="4"/>
      <c r="G11" s="4"/>
    </row>
    <row r="12" spans="2:7" ht="13" thickTop="1" x14ac:dyDescent="0.25"/>
    <row r="14" spans="2:7" x14ac:dyDescent="0.25">
      <c r="C14" s="1" t="s">
        <v>14</v>
      </c>
      <c r="D14" s="1" t="s">
        <v>21</v>
      </c>
      <c r="E14" s="1" t="s">
        <v>22</v>
      </c>
      <c r="F14" s="1" t="s">
        <v>23</v>
      </c>
      <c r="G14" s="1" t="s">
        <v>24</v>
      </c>
    </row>
    <row r="15" spans="2:7" ht="25" x14ac:dyDescent="0.25">
      <c r="C15" s="42" t="s">
        <v>25</v>
      </c>
      <c r="D15" s="3" t="s">
        <v>26</v>
      </c>
      <c r="E15" s="3" t="s">
        <v>27</v>
      </c>
      <c r="F15" s="3" t="s">
        <v>28</v>
      </c>
      <c r="G15" s="3" t="s">
        <v>29</v>
      </c>
    </row>
    <row r="16" spans="2:7" ht="37.5" x14ac:dyDescent="0.25">
      <c r="C16" s="43" t="s">
        <v>30</v>
      </c>
      <c r="D16" s="3" t="s">
        <v>31</v>
      </c>
      <c r="E16" s="3" t="s">
        <v>32</v>
      </c>
      <c r="F16" s="3" t="s">
        <v>33</v>
      </c>
      <c r="G16" s="3" t="s">
        <v>34</v>
      </c>
    </row>
    <row r="17" spans="3:7" ht="25" x14ac:dyDescent="0.25">
      <c r="C17" s="44" t="s">
        <v>35</v>
      </c>
      <c r="D17" s="3" t="s">
        <v>36</v>
      </c>
      <c r="E17" s="3" t="s">
        <v>37</v>
      </c>
      <c r="F17" s="3" t="s">
        <v>38</v>
      </c>
      <c r="G17" s="3"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4D324-823B-495C-8495-08B469B2FC1C}">
  <sheetPr>
    <tabColor theme="0"/>
  </sheetPr>
  <dimension ref="A3:AK166"/>
  <sheetViews>
    <sheetView workbookViewId="0"/>
  </sheetViews>
  <sheetFormatPr baseColWidth="10" defaultColWidth="8.81640625" defaultRowHeight="12.5" x14ac:dyDescent="0.25"/>
  <cols>
    <col min="2" max="2" width="13.1796875" customWidth="1"/>
    <col min="3" max="3" width="15.453125" customWidth="1"/>
    <col min="4" max="4" width="14.81640625" customWidth="1"/>
    <col min="5" max="5" width="22.1796875" customWidth="1"/>
    <col min="6" max="6" width="20.1796875" customWidth="1"/>
    <col min="7" max="7" width="30.453125" customWidth="1"/>
    <col min="8" max="8" width="27.453125" customWidth="1"/>
    <col min="9" max="9" width="19.81640625" customWidth="1"/>
    <col min="10" max="10" width="19.453125" customWidth="1"/>
    <col min="11" max="11" width="27.453125" customWidth="1"/>
    <col min="12" max="12" width="15.1796875" customWidth="1"/>
    <col min="13" max="13" width="18.453125" customWidth="1"/>
    <col min="14" max="14" width="15.453125" customWidth="1"/>
    <col min="15" max="15" width="19.453125" customWidth="1"/>
    <col min="16" max="16" width="14.81640625" customWidth="1"/>
    <col min="18" max="18" width="9.81640625" bestFit="1" customWidth="1"/>
    <col min="21" max="21" width="13.1796875" customWidth="1"/>
    <col min="22" max="22" width="14.81640625" customWidth="1"/>
    <col min="23" max="23" width="11.81640625" customWidth="1"/>
    <col min="24" max="24" width="10.453125" customWidth="1"/>
    <col min="25" max="25" width="11.453125" customWidth="1"/>
    <col min="26" max="26" width="11.81640625" customWidth="1"/>
    <col min="29" max="29" width="11.453125" customWidth="1"/>
    <col min="30" max="30" width="11.81640625" customWidth="1"/>
    <col min="33" max="33" width="10" customWidth="1"/>
    <col min="34" max="34" width="12.1796875" customWidth="1"/>
    <col min="35" max="35" width="11.453125" customWidth="1"/>
  </cols>
  <sheetData>
    <row r="3" spans="1:15" ht="15.5" thickBot="1" x14ac:dyDescent="0.3">
      <c r="A3">
        <v>1</v>
      </c>
      <c r="B3" s="4" t="s">
        <v>40</v>
      </c>
      <c r="C3" s="4"/>
      <c r="D3" s="4"/>
      <c r="E3" s="4"/>
      <c r="F3" s="4"/>
      <c r="G3" s="4"/>
      <c r="H3" s="4"/>
      <c r="I3" s="4"/>
      <c r="J3" s="4"/>
      <c r="K3" s="4"/>
      <c r="L3" s="4"/>
      <c r="M3" s="4"/>
      <c r="N3" s="4"/>
      <c r="O3" s="4"/>
    </row>
    <row r="4" spans="1:15" ht="13" thickTop="1" x14ac:dyDescent="0.25"/>
    <row r="5" spans="1:15" ht="14.5" thickBot="1" x14ac:dyDescent="0.3">
      <c r="B5" s="49" t="s">
        <v>41</v>
      </c>
      <c r="C5" s="49"/>
      <c r="D5" s="49"/>
      <c r="E5" s="49"/>
      <c r="F5" s="49"/>
    </row>
    <row r="6" spans="1:15" x14ac:dyDescent="0.25">
      <c r="B6" s="13" t="s">
        <v>42</v>
      </c>
    </row>
    <row r="7" spans="1:15" x14ac:dyDescent="0.25">
      <c r="B7" s="13" t="s">
        <v>43</v>
      </c>
    </row>
    <row r="9" spans="1:15" x14ac:dyDescent="0.25">
      <c r="C9" s="17" t="s">
        <v>44</v>
      </c>
      <c r="D9" s="17" t="s">
        <v>45</v>
      </c>
      <c r="E9" s="17" t="s">
        <v>46</v>
      </c>
    </row>
    <row r="10" spans="1:15" ht="62.5" x14ac:dyDescent="0.25">
      <c r="B10" s="53" t="s">
        <v>47</v>
      </c>
      <c r="C10" s="54">
        <v>2.5000000000000001E-2</v>
      </c>
      <c r="D10" s="64">
        <f>C10</f>
        <v>2.5000000000000001E-2</v>
      </c>
      <c r="E10" s="64">
        <f>D10</f>
        <v>2.5000000000000001E-2</v>
      </c>
    </row>
    <row r="12" spans="1:15" ht="14.5" thickBot="1" x14ac:dyDescent="0.3">
      <c r="B12" s="49" t="s">
        <v>48</v>
      </c>
      <c r="C12" s="49"/>
      <c r="D12" s="49"/>
      <c r="E12" s="49"/>
      <c r="F12" s="49"/>
    </row>
    <row r="13" spans="1:15" ht="33.75" customHeight="1" x14ac:dyDescent="0.25">
      <c r="B13" s="137" t="s">
        <v>49</v>
      </c>
      <c r="C13" s="137"/>
      <c r="D13" s="137"/>
      <c r="E13" s="137"/>
      <c r="F13" s="137"/>
      <c r="G13" s="137"/>
      <c r="H13" s="137"/>
    </row>
    <row r="14" spans="1:15" ht="13.5" x14ac:dyDescent="0.25">
      <c r="D14" s="66"/>
    </row>
    <row r="15" spans="1:15" ht="25" x14ac:dyDescent="0.25">
      <c r="B15" s="17" t="s">
        <v>50</v>
      </c>
      <c r="C15" s="17" t="s">
        <v>51</v>
      </c>
      <c r="D15" s="17" t="s">
        <v>52</v>
      </c>
      <c r="E15" s="17" t="s">
        <v>53</v>
      </c>
      <c r="F15" s="17" t="s">
        <v>54</v>
      </c>
      <c r="G15" s="17" t="s">
        <v>55</v>
      </c>
      <c r="H15" s="17" t="s">
        <v>56</v>
      </c>
    </row>
    <row r="16" spans="1:15" ht="50" x14ac:dyDescent="0.25">
      <c r="B16" s="138" t="s">
        <v>57</v>
      </c>
      <c r="C16" s="53" t="s">
        <v>45</v>
      </c>
      <c r="D16" s="3">
        <f>689310.79*(1-E10)</f>
        <v>672078.02025000006</v>
      </c>
      <c r="E16" s="3">
        <v>1200000</v>
      </c>
      <c r="F16" s="23">
        <f>E16/D16</f>
        <v>1.7855069855634069</v>
      </c>
      <c r="G16" s="7" t="s">
        <v>58</v>
      </c>
      <c r="H16" s="7" t="s">
        <v>59</v>
      </c>
    </row>
    <row r="17" spans="2:10" ht="12.75" customHeight="1" x14ac:dyDescent="0.25">
      <c r="B17" s="140"/>
      <c r="C17" s="53" t="s">
        <v>60</v>
      </c>
      <c r="D17" s="3">
        <f>334436.42*(1-E10)</f>
        <v>326075.50949999999</v>
      </c>
      <c r="E17" s="3">
        <v>397200</v>
      </c>
      <c r="F17" s="23">
        <f>E17/D17</f>
        <v>1.2181227612250347</v>
      </c>
      <c r="G17" s="7" t="s">
        <v>61</v>
      </c>
      <c r="H17" s="7" t="s">
        <v>62</v>
      </c>
    </row>
    <row r="18" spans="2:10" ht="25" customHeight="1" x14ac:dyDescent="0.25">
      <c r="B18" s="140"/>
      <c r="C18" s="53" t="s">
        <v>44</v>
      </c>
      <c r="D18" s="3">
        <f>860351*(1-C10)</f>
        <v>838842.22499999998</v>
      </c>
      <c r="E18" s="3">
        <v>779000</v>
      </c>
      <c r="F18" s="23">
        <f>E18/D18</f>
        <v>0.92866092905611664</v>
      </c>
      <c r="G18" s="7" t="s">
        <v>63</v>
      </c>
      <c r="H18" s="7" t="s">
        <v>64</v>
      </c>
      <c r="I18" s="36"/>
    </row>
    <row r="19" spans="2:10" ht="25" x14ac:dyDescent="0.25">
      <c r="B19" s="140"/>
      <c r="C19" s="53" t="s">
        <v>65</v>
      </c>
      <c r="D19" s="3">
        <f>356135.74*(1-E10)</f>
        <v>347232.34649999999</v>
      </c>
      <c r="E19" s="3">
        <v>314645</v>
      </c>
      <c r="F19" s="23">
        <f t="shared" ref="F19:F24" si="0">E19/D19</f>
        <v>0.9061511785164289</v>
      </c>
      <c r="G19" s="7" t="s">
        <v>66</v>
      </c>
      <c r="H19" s="7" t="s">
        <v>67</v>
      </c>
      <c r="I19" s="36"/>
    </row>
    <row r="20" spans="2:10" ht="25" x14ac:dyDescent="0.25">
      <c r="B20" s="141"/>
      <c r="C20" s="53" t="s">
        <v>68</v>
      </c>
      <c r="D20" s="3">
        <f>1495984*(1-E10)</f>
        <v>1458584.4</v>
      </c>
      <c r="E20" s="3">
        <v>1400693.23856</v>
      </c>
      <c r="F20" s="23">
        <f t="shared" si="0"/>
        <v>0.96031003660809755</v>
      </c>
      <c r="G20" s="7" t="s">
        <v>69</v>
      </c>
      <c r="H20" s="7" t="s">
        <v>70</v>
      </c>
      <c r="I20" s="36"/>
    </row>
    <row r="21" spans="2:10" ht="37.5" x14ac:dyDescent="0.25">
      <c r="B21" s="138" t="s">
        <v>8</v>
      </c>
      <c r="C21" s="53" t="s">
        <v>44</v>
      </c>
      <c r="D21" s="3">
        <v>35544727</v>
      </c>
      <c r="E21" s="3">
        <v>18400000</v>
      </c>
      <c r="F21" s="23">
        <f t="shared" si="0"/>
        <v>0.51765765425628396</v>
      </c>
      <c r="G21" s="3" t="s">
        <v>71</v>
      </c>
      <c r="H21" s="7" t="s">
        <v>70</v>
      </c>
      <c r="J21" s="63"/>
    </row>
    <row r="22" spans="2:10" ht="250" x14ac:dyDescent="0.25">
      <c r="B22" s="138"/>
      <c r="C22" s="53" t="s">
        <v>72</v>
      </c>
      <c r="D22" s="79">
        <v>3781840.39</v>
      </c>
      <c r="E22" s="79">
        <v>800000</v>
      </c>
      <c r="F22" s="80">
        <f t="shared" si="0"/>
        <v>0.21153721931665126</v>
      </c>
      <c r="G22" s="79" t="s">
        <v>73</v>
      </c>
      <c r="H22" s="7" t="s">
        <v>74</v>
      </c>
      <c r="I22" s="27"/>
      <c r="J22" s="63"/>
    </row>
    <row r="23" spans="2:10" ht="37.5" x14ac:dyDescent="0.25">
      <c r="B23" s="138" t="s">
        <v>10</v>
      </c>
      <c r="C23" s="53" t="s">
        <v>44</v>
      </c>
      <c r="D23" s="3">
        <v>2692365</v>
      </c>
      <c r="E23" s="3">
        <v>3110000</v>
      </c>
      <c r="F23" s="23">
        <f t="shared" si="0"/>
        <v>1.1551182696254036</v>
      </c>
      <c r="G23" s="7" t="s">
        <v>75</v>
      </c>
      <c r="H23" s="7" t="s">
        <v>76</v>
      </c>
    </row>
    <row r="24" spans="2:10" ht="75" x14ac:dyDescent="0.25">
      <c r="B24" s="138"/>
      <c r="C24" s="53" t="s">
        <v>68</v>
      </c>
      <c r="D24" s="3">
        <v>2933423.68</v>
      </c>
      <c r="E24" s="18">
        <v>2699781.7862399998</v>
      </c>
      <c r="F24" s="23">
        <f t="shared" si="0"/>
        <v>0.92035180756432688</v>
      </c>
      <c r="G24" s="7" t="s">
        <v>77</v>
      </c>
      <c r="H24" s="7" t="s">
        <v>78</v>
      </c>
    </row>
    <row r="26" spans="2:10" ht="14.5" thickBot="1" x14ac:dyDescent="0.3">
      <c r="B26" s="49" t="s">
        <v>79</v>
      </c>
      <c r="C26" s="49"/>
      <c r="D26" s="49"/>
      <c r="E26" s="49"/>
      <c r="F26" s="49"/>
    </row>
    <row r="28" spans="2:10" ht="37.5" x14ac:dyDescent="0.25">
      <c r="C28" s="17" t="s">
        <v>80</v>
      </c>
      <c r="D28" s="17" t="s">
        <v>81</v>
      </c>
      <c r="E28" s="17" t="s">
        <v>82</v>
      </c>
    </row>
    <row r="29" spans="2:10" x14ac:dyDescent="0.25">
      <c r="B29" s="53" t="s">
        <v>6</v>
      </c>
      <c r="C29" s="3">
        <f>SUMIFS('Reloop POM Values'!$C$2:$C$604,'Reloop POM Values'!$B$2:$B$604,"Metal")</f>
        <v>5278406.6000000043</v>
      </c>
      <c r="D29" s="3">
        <f>C29*(1-C10)</f>
        <v>5146446.4350000042</v>
      </c>
      <c r="E29" s="3">
        <f>D29-SUM(D16:D20)+SUM(E16:E20)</f>
        <v>5595172.172310004</v>
      </c>
      <c r="F29" s="5"/>
    </row>
    <row r="30" spans="2:10" x14ac:dyDescent="0.25">
      <c r="B30" s="53" t="s">
        <v>8</v>
      </c>
      <c r="C30" s="3">
        <f>SUMIFS('Reloop POM Values'!$C$2:$C$604,'Reloop POM Values'!$B$2:$B$604,"Glass")</f>
        <v>160058757.37999988</v>
      </c>
      <c r="D30" s="3">
        <f>C30</f>
        <v>160058757.37999988</v>
      </c>
      <c r="E30" s="3">
        <f>D30-SUM(D21:D22)+SUM(E21:E22)</f>
        <v>139932189.98999989</v>
      </c>
    </row>
    <row r="31" spans="2:10" x14ac:dyDescent="0.25">
      <c r="B31" s="53" t="s">
        <v>10</v>
      </c>
      <c r="C31" s="3">
        <f>SUMIFS('Reloop POM Values'!$C$2:$C$604,'Reloop POM Values'!$B$2:$B$604,"PET")</f>
        <v>17154202.910000019</v>
      </c>
      <c r="D31" s="3">
        <f>C31</f>
        <v>17154202.910000019</v>
      </c>
      <c r="E31" s="3">
        <f>D31-SUM(D23:D24)+SUM(E23:E24)</f>
        <v>17338196.016240019</v>
      </c>
    </row>
    <row r="34" spans="1:15" ht="15.5" thickBot="1" x14ac:dyDescent="0.3">
      <c r="A34">
        <v>2</v>
      </c>
      <c r="B34" s="4" t="s">
        <v>83</v>
      </c>
      <c r="C34" s="4"/>
      <c r="D34" s="4"/>
      <c r="E34" s="4"/>
      <c r="F34" s="4"/>
      <c r="G34" s="4"/>
      <c r="H34" s="4"/>
      <c r="I34" s="4"/>
      <c r="J34" s="4"/>
      <c r="K34" s="4"/>
      <c r="L34" s="4"/>
      <c r="M34" s="4"/>
      <c r="N34" s="4"/>
      <c r="O34" s="4"/>
    </row>
    <row r="35" spans="1:15" ht="13" thickTop="1" x14ac:dyDescent="0.25">
      <c r="B35" s="13" t="s">
        <v>84</v>
      </c>
    </row>
    <row r="37" spans="1:15" ht="37.5" x14ac:dyDescent="0.25">
      <c r="C37" s="17" t="s">
        <v>85</v>
      </c>
      <c r="D37" s="17" t="s">
        <v>86</v>
      </c>
      <c r="E37" s="17" t="s">
        <v>87</v>
      </c>
    </row>
    <row r="38" spans="1:15" ht="13" thickBot="1" x14ac:dyDescent="0.3">
      <c r="B38" s="53" t="s">
        <v>6</v>
      </c>
      <c r="C38" s="125">
        <v>0</v>
      </c>
      <c r="D38" s="59">
        <f>D58</f>
        <v>3.6892642639052967E-2</v>
      </c>
      <c r="E38" s="51">
        <f>SUM(D58:E58)</f>
        <v>5.7618786768288882E-2</v>
      </c>
    </row>
    <row r="39" spans="1:15" ht="13.5" thickTop="1" thickBot="1" x14ac:dyDescent="0.3">
      <c r="B39" s="53" t="s">
        <v>8</v>
      </c>
      <c r="C39" s="59">
        <f>AVERAGE(H64:H65)</f>
        <v>3.7696832979476291E-2</v>
      </c>
      <c r="D39" s="59">
        <f>H67</f>
        <v>0.21443569553805775</v>
      </c>
      <c r="E39" s="51">
        <f>H68</f>
        <v>0.11801391220916287</v>
      </c>
    </row>
    <row r="40" spans="1:15" ht="13.5" thickTop="1" thickBot="1" x14ac:dyDescent="0.3">
      <c r="B40" s="53" t="s">
        <v>10</v>
      </c>
      <c r="C40" s="59">
        <f>C93</f>
        <v>0.18499999999999997</v>
      </c>
      <c r="D40" s="59">
        <f>D93</f>
        <v>0.29393939393939394</v>
      </c>
      <c r="E40" s="51">
        <f>H83</f>
        <v>0.25090732707617486</v>
      </c>
    </row>
    <row r="41" spans="1:15" ht="13" thickTop="1" x14ac:dyDescent="0.25"/>
    <row r="43" spans="1:15" ht="14.5" thickBot="1" x14ac:dyDescent="0.3">
      <c r="B43" s="49" t="s">
        <v>88</v>
      </c>
      <c r="C43" s="49"/>
      <c r="D43" s="49"/>
      <c r="E43" s="49"/>
      <c r="F43" s="49"/>
      <c r="G43" s="49"/>
      <c r="H43" s="49"/>
      <c r="I43" s="49"/>
    </row>
    <row r="44" spans="1:15" x14ac:dyDescent="0.25">
      <c r="B44" s="13" t="s">
        <v>89</v>
      </c>
    </row>
    <row r="45" spans="1:15" x14ac:dyDescent="0.25">
      <c r="B45" s="71" t="s">
        <v>90</v>
      </c>
    </row>
    <row r="46" spans="1:15" x14ac:dyDescent="0.25">
      <c r="B46" s="71"/>
    </row>
    <row r="47" spans="1:15" x14ac:dyDescent="0.25">
      <c r="B47" s="71"/>
      <c r="C47" s="17" t="s">
        <v>50</v>
      </c>
      <c r="D47" s="17" t="s">
        <v>91</v>
      </c>
      <c r="E47" s="17" t="s">
        <v>92</v>
      </c>
      <c r="F47" s="17" t="s">
        <v>93</v>
      </c>
    </row>
    <row r="48" spans="1:15" ht="48" customHeight="1" x14ac:dyDescent="0.25">
      <c r="B48" s="138" t="s">
        <v>94</v>
      </c>
      <c r="C48" s="3" t="s">
        <v>6</v>
      </c>
      <c r="D48" s="107">
        <v>9.9999999999999936E-2</v>
      </c>
      <c r="E48" s="144" t="s">
        <v>95</v>
      </c>
      <c r="F48" s="139" t="s">
        <v>96</v>
      </c>
      <c r="G48" s="14"/>
    </row>
    <row r="49" spans="2:10" ht="26.25" customHeight="1" x14ac:dyDescent="0.25">
      <c r="B49" s="138"/>
      <c r="C49" s="3" t="s">
        <v>8</v>
      </c>
      <c r="D49" s="107">
        <v>0.33130699088145893</v>
      </c>
      <c r="E49" s="144"/>
      <c r="F49" s="139"/>
      <c r="G49" s="14"/>
    </row>
    <row r="50" spans="2:10" ht="34.5" customHeight="1" x14ac:dyDescent="0.25">
      <c r="B50" s="138"/>
      <c r="C50" s="3" t="s">
        <v>10</v>
      </c>
      <c r="D50" s="107">
        <v>0.34285714285714292</v>
      </c>
      <c r="E50" s="144"/>
      <c r="F50" s="139"/>
      <c r="G50" s="14"/>
    </row>
    <row r="51" spans="2:10" x14ac:dyDescent="0.25">
      <c r="E51" s="50"/>
      <c r="F51" s="50"/>
      <c r="G51" s="50"/>
    </row>
    <row r="52" spans="2:10" ht="25" x14ac:dyDescent="0.25">
      <c r="C52" s="17" t="s">
        <v>50</v>
      </c>
      <c r="D52" s="17" t="s">
        <v>97</v>
      </c>
      <c r="E52" s="17" t="s">
        <v>98</v>
      </c>
      <c r="F52" s="17" t="s">
        <v>99</v>
      </c>
      <c r="G52" s="17" t="s">
        <v>100</v>
      </c>
      <c r="H52" s="17" t="s">
        <v>92</v>
      </c>
    </row>
    <row r="53" spans="2:10" x14ac:dyDescent="0.25">
      <c r="B53" s="73" t="s">
        <v>44</v>
      </c>
      <c r="C53" s="145" t="s">
        <v>6</v>
      </c>
      <c r="D53" s="70">
        <v>0.01</v>
      </c>
      <c r="E53" s="70">
        <v>1.9852895737736877E-2</v>
      </c>
      <c r="F53" s="70">
        <v>4.3775635101709821E-2</v>
      </c>
      <c r="G53" s="61">
        <f>SUM(D53:F53)</f>
        <v>7.3628530839446704E-2</v>
      </c>
      <c r="H53" s="16"/>
    </row>
    <row r="54" spans="2:10" x14ac:dyDescent="0.25">
      <c r="B54" s="73" t="s">
        <v>101</v>
      </c>
      <c r="C54" s="146"/>
      <c r="D54" s="70">
        <v>0.11999999999999997</v>
      </c>
      <c r="E54" s="70">
        <v>4.4298601569730825E-2</v>
      </c>
      <c r="F54" s="70">
        <v>3.7875304342119866E-2</v>
      </c>
      <c r="G54" s="61">
        <f t="shared" ref="G54:G57" si="1">SUM(D54:F54)</f>
        <v>0.20217390591185067</v>
      </c>
      <c r="H54" s="16"/>
    </row>
    <row r="55" spans="2:10" ht="25" x14ac:dyDescent="0.25">
      <c r="B55" s="73" t="s">
        <v>65</v>
      </c>
      <c r="C55" s="146"/>
      <c r="D55" s="70">
        <v>1.5644376899696048E-2</v>
      </c>
      <c r="E55" s="70">
        <v>1.4407294832826751E-2</v>
      </c>
      <c r="F55" s="70">
        <v>3.1768085106382987E-2</v>
      </c>
      <c r="G55" s="61">
        <f t="shared" si="1"/>
        <v>6.1819756838905789E-2</v>
      </c>
      <c r="H55" s="3" t="s">
        <v>102</v>
      </c>
    </row>
    <row r="56" spans="2:10" ht="37.5" x14ac:dyDescent="0.25">
      <c r="B56" s="73" t="s">
        <v>60</v>
      </c>
      <c r="C56" s="146"/>
      <c r="D56" s="70">
        <v>0.01</v>
      </c>
      <c r="E56" s="70">
        <v>1.9800000000000002E-2</v>
      </c>
      <c r="F56" s="70">
        <v>4.3659000000000003E-2</v>
      </c>
      <c r="G56" s="61">
        <f t="shared" si="1"/>
        <v>7.3458999999999997E-2</v>
      </c>
      <c r="H56" s="3" t="s">
        <v>103</v>
      </c>
    </row>
    <row r="57" spans="2:10" ht="37.5" x14ac:dyDescent="0.25">
      <c r="B57" s="73" t="s">
        <v>45</v>
      </c>
      <c r="C57" s="147"/>
      <c r="D57" s="70">
        <v>0.03</v>
      </c>
      <c r="E57" s="70">
        <v>9.7068051020408174E-3</v>
      </c>
      <c r="F57" s="70">
        <v>4.3243816729591836E-2</v>
      </c>
      <c r="G57" s="61">
        <f t="shared" si="1"/>
        <v>8.2950621831632654E-2</v>
      </c>
      <c r="H57" s="3" t="s">
        <v>103</v>
      </c>
    </row>
    <row r="58" spans="2:10" ht="13" thickBot="1" x14ac:dyDescent="0.3">
      <c r="B58" s="51" t="s">
        <v>104</v>
      </c>
      <c r="C58" s="51"/>
      <c r="D58" s="51">
        <v>3.6892642639052967E-2</v>
      </c>
      <c r="E58" s="51">
        <v>2.0726144129235919E-2</v>
      </c>
      <c r="F58" s="51">
        <v>4.0938532151089363E-2</v>
      </c>
      <c r="G58" s="51">
        <v>9.8557318919378245E-2</v>
      </c>
      <c r="H58" s="16"/>
    </row>
    <row r="59" spans="2:10" ht="13" thickTop="1" x14ac:dyDescent="0.25">
      <c r="E59" s="50"/>
      <c r="F59" s="50"/>
      <c r="G59" s="50"/>
      <c r="H59" s="48"/>
      <c r="J59" s="14"/>
    </row>
    <row r="60" spans="2:10" ht="14.5" thickBot="1" x14ac:dyDescent="0.3">
      <c r="B60" s="49" t="s">
        <v>105</v>
      </c>
      <c r="C60" s="49"/>
      <c r="D60" s="49"/>
      <c r="E60" s="49"/>
      <c r="F60" s="49"/>
      <c r="G60" s="49"/>
      <c r="H60" s="49"/>
    </row>
    <row r="61" spans="2:10" x14ac:dyDescent="0.25">
      <c r="B61" s="13" t="s">
        <v>106</v>
      </c>
    </row>
    <row r="62" spans="2:10" x14ac:dyDescent="0.25">
      <c r="B62" s="13" t="s">
        <v>107</v>
      </c>
    </row>
    <row r="63" spans="2:10" x14ac:dyDescent="0.25">
      <c r="E63" s="17" t="s">
        <v>108</v>
      </c>
      <c r="F63" s="17" t="s">
        <v>109</v>
      </c>
      <c r="G63" s="17" t="s">
        <v>110</v>
      </c>
      <c r="H63" s="17" t="s">
        <v>111</v>
      </c>
    </row>
    <row r="64" spans="2:10" x14ac:dyDescent="0.25">
      <c r="B64" s="17" t="s">
        <v>112</v>
      </c>
      <c r="C64" s="55"/>
      <c r="D64" s="55"/>
      <c r="E64" s="3">
        <v>2512</v>
      </c>
      <c r="F64" s="3">
        <f>E64-76</f>
        <v>2436</v>
      </c>
      <c r="G64" s="18">
        <f t="shared" ref="G64" si="2">E64-F64</f>
        <v>76</v>
      </c>
      <c r="H64" s="23">
        <f t="shared" ref="H64" si="3">G64/E64</f>
        <v>3.0254777070063694E-2</v>
      </c>
    </row>
    <row r="65" spans="2:17" x14ac:dyDescent="0.25">
      <c r="B65" s="17" t="s">
        <v>113</v>
      </c>
      <c r="C65" s="55"/>
      <c r="D65" s="55"/>
      <c r="E65" s="3">
        <v>2016</v>
      </c>
      <c r="F65" s="3">
        <f>E65-91</f>
        <v>1925</v>
      </c>
      <c r="G65" s="18">
        <f t="shared" ref="G65" si="4">E65-F65</f>
        <v>91</v>
      </c>
      <c r="H65" s="23">
        <f t="shared" ref="H65" si="5">G65/E65</f>
        <v>4.5138888888888888E-2</v>
      </c>
    </row>
    <row r="66" spans="2:17" x14ac:dyDescent="0.25">
      <c r="B66" s="17" t="s">
        <v>114</v>
      </c>
      <c r="C66" s="55"/>
      <c r="D66" s="55"/>
      <c r="E66" s="55"/>
      <c r="F66" s="55"/>
      <c r="G66" s="55"/>
      <c r="H66" s="55"/>
    </row>
    <row r="67" spans="2:17" x14ac:dyDescent="0.25">
      <c r="B67" s="17" t="s">
        <v>68</v>
      </c>
      <c r="C67" s="55"/>
      <c r="D67" s="55"/>
      <c r="E67" s="3">
        <v>3810</v>
      </c>
      <c r="F67" s="3">
        <f>E67-817</f>
        <v>2993</v>
      </c>
      <c r="G67" s="18">
        <f t="shared" ref="G67" si="6">E67-F67</f>
        <v>817</v>
      </c>
      <c r="H67" s="23">
        <f t="shared" ref="H67" si="7">G67/E67</f>
        <v>0.21443569553805775</v>
      </c>
    </row>
    <row r="68" spans="2:17" ht="13" thickBot="1" x14ac:dyDescent="0.3">
      <c r="B68" s="29" t="s">
        <v>115</v>
      </c>
      <c r="C68" s="29"/>
      <c r="D68" s="29"/>
      <c r="E68" s="29">
        <f>SUM(E64:E67)</f>
        <v>8338</v>
      </c>
      <c r="F68" s="29">
        <f>SUM(F64:F67)</f>
        <v>7354</v>
      </c>
      <c r="G68" s="29">
        <f t="shared" ref="G68" si="8">E68-F68</f>
        <v>984</v>
      </c>
      <c r="H68" s="51">
        <f>G68/E68</f>
        <v>0.11801391220916287</v>
      </c>
    </row>
    <row r="69" spans="2:17" ht="13.5" thickTop="1" thickBot="1" x14ac:dyDescent="0.3">
      <c r="H69" s="51">
        <f>AVERAGE(H64:H67)</f>
        <v>9.6609787165670105E-2</v>
      </c>
    </row>
    <row r="70" spans="2:17" ht="13" thickTop="1" x14ac:dyDescent="0.25"/>
    <row r="73" spans="2:17" ht="14.5" thickBot="1" x14ac:dyDescent="0.3">
      <c r="B73" s="49" t="s">
        <v>116</v>
      </c>
      <c r="C73" s="49"/>
      <c r="D73" s="49"/>
      <c r="E73" s="49"/>
      <c r="F73" s="49"/>
    </row>
    <row r="75" spans="2:17" ht="75" customHeight="1" x14ac:dyDescent="0.25">
      <c r="D75" s="2" t="s">
        <v>117</v>
      </c>
      <c r="E75" s="2" t="s">
        <v>118</v>
      </c>
      <c r="F75" s="2" t="s">
        <v>119</v>
      </c>
      <c r="G75" s="2" t="s">
        <v>120</v>
      </c>
      <c r="H75" s="2" t="s">
        <v>121</v>
      </c>
      <c r="I75" s="2" t="s">
        <v>55</v>
      </c>
      <c r="J75" s="2" t="s">
        <v>122</v>
      </c>
      <c r="K75" s="2" t="s">
        <v>92</v>
      </c>
      <c r="M75" s="2" t="s">
        <v>123</v>
      </c>
      <c r="N75" s="2" t="s">
        <v>124</v>
      </c>
      <c r="O75" s="2" t="s">
        <v>125</v>
      </c>
      <c r="P75" s="2" t="s">
        <v>126</v>
      </c>
      <c r="Q75" s="2" t="s">
        <v>127</v>
      </c>
    </row>
    <row r="76" spans="2:17" ht="125" x14ac:dyDescent="0.25">
      <c r="B76" s="17" t="s">
        <v>128</v>
      </c>
      <c r="C76" s="56" t="s">
        <v>129</v>
      </c>
      <c r="D76" s="3">
        <v>2022</v>
      </c>
      <c r="E76" s="3">
        <v>2690000</v>
      </c>
      <c r="F76" s="3">
        <v>1900000</v>
      </c>
      <c r="G76" s="18">
        <f>E76-F76</f>
        <v>790000</v>
      </c>
      <c r="H76" s="61">
        <f>G76/E76</f>
        <v>0.29368029739776952</v>
      </c>
      <c r="I76" s="3" t="s">
        <v>130</v>
      </c>
      <c r="J76" s="3" t="s">
        <v>131</v>
      </c>
      <c r="K76" s="3" t="s">
        <v>132</v>
      </c>
      <c r="M76" s="61">
        <f>AI147</f>
        <v>0.91764705882352937</v>
      </c>
      <c r="N76" s="61">
        <f>1-M76</f>
        <v>8.2352941176470629E-2</v>
      </c>
      <c r="O76" s="64">
        <f>H77</f>
        <v>0.39393939393939392</v>
      </c>
      <c r="P76" s="64">
        <v>0.28499999999999998</v>
      </c>
      <c r="Q76" s="70">
        <f>M76*P76+N76*O76</f>
        <v>0.29397147950089125</v>
      </c>
    </row>
    <row r="77" spans="2:17" ht="144" customHeight="1" x14ac:dyDescent="0.25">
      <c r="B77" s="17" t="s">
        <v>101</v>
      </c>
      <c r="C77" s="56" t="s">
        <v>133</v>
      </c>
      <c r="D77" s="3">
        <v>2023</v>
      </c>
      <c r="E77" s="3">
        <f>PET!I44</f>
        <v>890927.98945919995</v>
      </c>
      <c r="F77" s="3">
        <f>PET!K44</f>
        <v>539956.35724799999</v>
      </c>
      <c r="G77" s="18">
        <f t="shared" ref="G77" si="9">E77-F77</f>
        <v>350971.63221119996</v>
      </c>
      <c r="H77" s="61">
        <f t="shared" ref="H77" si="10">G77/E77</f>
        <v>0.39393939393939392</v>
      </c>
      <c r="I77" s="3" t="s">
        <v>134</v>
      </c>
      <c r="J77" s="72" t="s">
        <v>135</v>
      </c>
      <c r="K77" s="3" t="s">
        <v>136</v>
      </c>
    </row>
    <row r="78" spans="2:17" ht="175" x14ac:dyDescent="0.25">
      <c r="B78" s="17" t="s">
        <v>137</v>
      </c>
      <c r="C78" s="56" t="s">
        <v>133</v>
      </c>
      <c r="D78" s="3">
        <v>2022</v>
      </c>
      <c r="E78" s="3">
        <f>PET!I16</f>
        <v>116386.049</v>
      </c>
      <c r="F78" s="3">
        <f>PET!K16</f>
        <v>93108.839200000002</v>
      </c>
      <c r="G78" s="18">
        <f t="shared" ref="G78" si="11">E78-F78</f>
        <v>23277.209799999997</v>
      </c>
      <c r="H78" s="61">
        <f t="shared" ref="H78" si="12">G78/E78</f>
        <v>0.19999999999999998</v>
      </c>
      <c r="I78" s="3" t="s">
        <v>138</v>
      </c>
      <c r="J78" s="9" t="s">
        <v>139</v>
      </c>
      <c r="K78" s="3" t="s">
        <v>140</v>
      </c>
    </row>
    <row r="79" spans="2:17" ht="37.5" x14ac:dyDescent="0.25">
      <c r="B79" s="17" t="s">
        <v>141</v>
      </c>
      <c r="C79" s="56" t="s">
        <v>142</v>
      </c>
      <c r="D79" s="3"/>
      <c r="E79" s="3">
        <f>PET!I17</f>
        <v>19048.198079999998</v>
      </c>
      <c r="F79" s="3">
        <f>PET!K17</f>
        <v>12523.0368</v>
      </c>
      <c r="G79" s="18">
        <f t="shared" ref="G79:G83" si="13">E79-F79</f>
        <v>6525.1612799999984</v>
      </c>
      <c r="H79" s="61">
        <f t="shared" ref="H79:H83" si="14">G79/E79</f>
        <v>0.34256055363321797</v>
      </c>
      <c r="I79" s="3"/>
      <c r="J79" s="3"/>
      <c r="K79" s="3" t="s">
        <v>143</v>
      </c>
    </row>
    <row r="80" spans="2:17" ht="87.5" x14ac:dyDescent="0.25">
      <c r="B80" s="17" t="s">
        <v>144</v>
      </c>
      <c r="C80" s="56" t="s">
        <v>145</v>
      </c>
      <c r="D80" s="3" t="s">
        <v>146</v>
      </c>
      <c r="E80" s="3">
        <f>PET!I23</f>
        <v>750935.13600000006</v>
      </c>
      <c r="F80" s="3">
        <f>PET!K23</f>
        <v>600748.10880000005</v>
      </c>
      <c r="G80" s="18">
        <f t="shared" si="13"/>
        <v>150187.02720000001</v>
      </c>
      <c r="H80" s="61">
        <f t="shared" si="14"/>
        <v>0.2</v>
      </c>
      <c r="I80" s="3" t="s">
        <v>147</v>
      </c>
      <c r="J80" s="9" t="s">
        <v>148</v>
      </c>
      <c r="K80" s="3" t="s">
        <v>149</v>
      </c>
    </row>
    <row r="81" spans="1:15" ht="87.5" x14ac:dyDescent="0.25">
      <c r="B81" s="17" t="s">
        <v>65</v>
      </c>
      <c r="C81" s="56" t="s">
        <v>150</v>
      </c>
      <c r="D81" s="3">
        <v>2023</v>
      </c>
      <c r="E81" s="3">
        <f>PET!I28</f>
        <v>558335.03200000001</v>
      </c>
      <c r="F81" s="3">
        <f>PET!K28</f>
        <v>513064.62399999995</v>
      </c>
      <c r="G81" s="18">
        <f t="shared" si="13"/>
        <v>45270.408000000054</v>
      </c>
      <c r="H81" s="61">
        <f t="shared" si="14"/>
        <v>8.1081081081081183E-2</v>
      </c>
      <c r="I81" s="3" t="s">
        <v>151</v>
      </c>
      <c r="J81" s="40" t="s">
        <v>152</v>
      </c>
      <c r="K81" s="3" t="s">
        <v>153</v>
      </c>
      <c r="M81" s="50"/>
      <c r="N81" s="27"/>
    </row>
    <row r="82" spans="1:15" ht="137.5" x14ac:dyDescent="0.25">
      <c r="B82" s="17" t="s">
        <v>154</v>
      </c>
      <c r="C82" s="56" t="s">
        <v>145</v>
      </c>
      <c r="D82" s="3">
        <v>2022</v>
      </c>
      <c r="E82" s="3">
        <f>PET!I33</f>
        <v>141778.35</v>
      </c>
      <c r="F82" s="3">
        <f>PET!K33</f>
        <v>96409.278000000006</v>
      </c>
      <c r="G82" s="18">
        <f t="shared" si="13"/>
        <v>45369.072</v>
      </c>
      <c r="H82" s="61">
        <f t="shared" si="14"/>
        <v>0.32</v>
      </c>
      <c r="I82" s="3" t="s">
        <v>155</v>
      </c>
      <c r="J82" s="3" t="s">
        <v>156</v>
      </c>
      <c r="K82" s="3" t="s">
        <v>157</v>
      </c>
      <c r="M82" s="50"/>
      <c r="N82" s="27"/>
    </row>
    <row r="83" spans="1:15" ht="13" thickBot="1" x14ac:dyDescent="0.3">
      <c r="B83" s="29" t="s">
        <v>115</v>
      </c>
      <c r="C83" s="29"/>
      <c r="D83" s="29"/>
      <c r="E83" s="29">
        <f>SUM(E77:E82)</f>
        <v>2477410.7545392001</v>
      </c>
      <c r="F83" s="29">
        <f>SUM(F77:F82)</f>
        <v>1855810.2440479998</v>
      </c>
      <c r="G83" s="29">
        <f t="shared" si="13"/>
        <v>621600.51049120026</v>
      </c>
      <c r="H83" s="30">
        <f t="shared" si="14"/>
        <v>0.25090732707617486</v>
      </c>
    </row>
    <row r="84" spans="1:15" ht="13" thickTop="1" x14ac:dyDescent="0.25"/>
    <row r="86" spans="1:15" ht="14" thickBot="1" x14ac:dyDescent="0.3">
      <c r="B86" s="60" t="s">
        <v>804</v>
      </c>
      <c r="C86" s="60"/>
      <c r="D86" s="60"/>
      <c r="E86" s="60"/>
    </row>
    <row r="87" spans="1:15" x14ac:dyDescent="0.25">
      <c r="B87" s="13" t="s">
        <v>810</v>
      </c>
    </row>
    <row r="89" spans="1:15" x14ac:dyDescent="0.25">
      <c r="B89" s="13" t="s">
        <v>805</v>
      </c>
    </row>
    <row r="90" spans="1:15" ht="50" x14ac:dyDescent="0.25">
      <c r="B90" s="17" t="s">
        <v>806</v>
      </c>
      <c r="C90" s="125">
        <v>0.1</v>
      </c>
    </row>
    <row r="92" spans="1:15" ht="25" x14ac:dyDescent="0.25">
      <c r="C92" s="17" t="s">
        <v>808</v>
      </c>
      <c r="D92" s="17" t="s">
        <v>807</v>
      </c>
    </row>
    <row r="93" spans="1:15" x14ac:dyDescent="0.25">
      <c r="B93" s="53" t="s">
        <v>809</v>
      </c>
      <c r="C93" s="37">
        <f>P76-C90</f>
        <v>0.18499999999999997</v>
      </c>
      <c r="D93" s="37">
        <f>O76-C90</f>
        <v>0.29393939393939394</v>
      </c>
    </row>
    <row r="96" spans="1:15" ht="15.5" thickBot="1" x14ac:dyDescent="0.3">
      <c r="A96">
        <v>3</v>
      </c>
      <c r="B96" s="4" t="s">
        <v>158</v>
      </c>
      <c r="C96" s="4"/>
      <c r="D96" s="4"/>
      <c r="E96" s="4"/>
      <c r="F96" s="4"/>
      <c r="G96" s="4"/>
      <c r="H96" s="4"/>
      <c r="I96" s="4"/>
      <c r="J96" s="4"/>
      <c r="K96" s="4"/>
      <c r="L96" s="4"/>
      <c r="M96" s="4"/>
      <c r="N96" s="4"/>
      <c r="O96" s="4"/>
    </row>
    <row r="97" spans="2:11" ht="13" thickTop="1" x14ac:dyDescent="0.25"/>
    <row r="98" spans="2:11" ht="14.5" thickBot="1" x14ac:dyDescent="0.3">
      <c r="B98" s="49" t="s">
        <v>159</v>
      </c>
      <c r="C98" s="49"/>
      <c r="D98" s="49"/>
      <c r="E98" s="49"/>
      <c r="F98" s="49"/>
      <c r="G98" s="49"/>
      <c r="H98" s="49"/>
      <c r="I98" s="49"/>
      <c r="J98" s="49"/>
      <c r="K98" s="49"/>
    </row>
    <row r="99" spans="2:11" x14ac:dyDescent="0.25">
      <c r="B99" s="13" t="s">
        <v>160</v>
      </c>
    </row>
    <row r="101" spans="2:11" ht="14" thickBot="1" x14ac:dyDescent="0.3">
      <c r="B101" s="60" t="s">
        <v>161</v>
      </c>
      <c r="C101" s="60"/>
    </row>
    <row r="102" spans="2:11" x14ac:dyDescent="0.25">
      <c r="B102" s="13" t="s">
        <v>162</v>
      </c>
    </row>
    <row r="103" spans="2:11" x14ac:dyDescent="0.25">
      <c r="B103" s="13" t="s">
        <v>163</v>
      </c>
    </row>
    <row r="104" spans="2:11" x14ac:dyDescent="0.25">
      <c r="B104" s="13" t="s">
        <v>164</v>
      </c>
    </row>
    <row r="105" spans="2:11" ht="37.5" x14ac:dyDescent="0.25">
      <c r="D105" s="17" t="s">
        <v>165</v>
      </c>
      <c r="E105" s="17" t="s">
        <v>166</v>
      </c>
      <c r="F105" s="17" t="s">
        <v>167</v>
      </c>
      <c r="G105" s="17" t="s">
        <v>168</v>
      </c>
      <c r="H105" s="17" t="s">
        <v>169</v>
      </c>
      <c r="I105" s="17" t="s">
        <v>170</v>
      </c>
    </row>
    <row r="106" spans="2:11" ht="46.5" customHeight="1" x14ac:dyDescent="0.25">
      <c r="B106" s="142" t="s">
        <v>8</v>
      </c>
      <c r="C106" s="56" t="s">
        <v>171</v>
      </c>
      <c r="D106" s="3">
        <v>47</v>
      </c>
      <c r="E106" s="3">
        <v>61</v>
      </c>
      <c r="F106" s="3">
        <v>57</v>
      </c>
      <c r="G106" s="3">
        <v>64</v>
      </c>
      <c r="H106" s="21">
        <f>SUM(D106:G106)</f>
        <v>229</v>
      </c>
      <c r="I106" s="61">
        <f>H106/SUM(H106:H107)</f>
        <v>0.78424657534246578</v>
      </c>
    </row>
    <row r="107" spans="2:11" ht="25" x14ac:dyDescent="0.25">
      <c r="B107" s="148"/>
      <c r="C107" s="56" t="s">
        <v>172</v>
      </c>
      <c r="D107" s="3">
        <v>21</v>
      </c>
      <c r="E107" s="3">
        <v>18</v>
      </c>
      <c r="F107" s="3">
        <v>10</v>
      </c>
      <c r="G107" s="3">
        <v>14</v>
      </c>
      <c r="H107" s="21">
        <f t="shared" ref="H107:H111" si="15">SUM(D107:G107)</f>
        <v>63</v>
      </c>
      <c r="I107" s="21"/>
    </row>
    <row r="108" spans="2:11" ht="52.5" customHeight="1" x14ac:dyDescent="0.25">
      <c r="B108" s="142" t="s">
        <v>10</v>
      </c>
      <c r="C108" s="56" t="s">
        <v>171</v>
      </c>
      <c r="D108" s="3">
        <v>40</v>
      </c>
      <c r="E108" s="3">
        <v>53</v>
      </c>
      <c r="F108" s="3">
        <v>57</v>
      </c>
      <c r="G108" s="3">
        <v>48</v>
      </c>
      <c r="H108" s="21">
        <f t="shared" si="15"/>
        <v>198</v>
      </c>
      <c r="I108" s="61">
        <f>H108/SUM(H108:H109)</f>
        <v>0.7857142857142857</v>
      </c>
    </row>
    <row r="109" spans="2:11" ht="25" x14ac:dyDescent="0.25">
      <c r="B109" s="148"/>
      <c r="C109" s="56" t="s">
        <v>172</v>
      </c>
      <c r="D109" s="3">
        <v>24</v>
      </c>
      <c r="E109" s="3">
        <v>13</v>
      </c>
      <c r="F109" s="3">
        <v>10</v>
      </c>
      <c r="G109" s="3">
        <v>7</v>
      </c>
      <c r="H109" s="21">
        <f t="shared" si="15"/>
        <v>54</v>
      </c>
      <c r="I109" s="21"/>
    </row>
    <row r="110" spans="2:11" ht="59.25" customHeight="1" x14ac:dyDescent="0.25">
      <c r="B110" s="142" t="s">
        <v>6</v>
      </c>
      <c r="C110" s="56" t="s">
        <v>171</v>
      </c>
      <c r="D110" s="3">
        <v>60</v>
      </c>
      <c r="E110" s="3">
        <v>60</v>
      </c>
      <c r="F110" s="3">
        <v>57</v>
      </c>
      <c r="G110" s="3">
        <v>57</v>
      </c>
      <c r="H110" s="21">
        <f t="shared" si="15"/>
        <v>234</v>
      </c>
      <c r="I110" s="61">
        <f>H110/SUM(H110:H111)</f>
        <v>0.84476534296028882</v>
      </c>
    </row>
    <row r="111" spans="2:11" ht="25" x14ac:dyDescent="0.25">
      <c r="B111" s="148"/>
      <c r="C111" s="56" t="s">
        <v>172</v>
      </c>
      <c r="D111" s="3">
        <v>13</v>
      </c>
      <c r="E111" s="3">
        <v>11</v>
      </c>
      <c r="F111" s="3">
        <v>10</v>
      </c>
      <c r="G111" s="3">
        <v>9</v>
      </c>
      <c r="H111" s="21">
        <f t="shared" si="15"/>
        <v>43</v>
      </c>
      <c r="I111" s="21"/>
    </row>
    <row r="114" spans="2:22" ht="14" thickBot="1" x14ac:dyDescent="0.3">
      <c r="B114" s="60" t="s">
        <v>101</v>
      </c>
      <c r="C114" s="60"/>
    </row>
    <row r="115" spans="2:22" x14ac:dyDescent="0.25">
      <c r="B115" s="13" t="s">
        <v>162</v>
      </c>
    </row>
    <row r="116" spans="2:22" x14ac:dyDescent="0.25">
      <c r="B116" s="13" t="s">
        <v>163</v>
      </c>
    </row>
    <row r="117" spans="2:22" x14ac:dyDescent="0.25">
      <c r="B117" s="13" t="s">
        <v>164</v>
      </c>
    </row>
    <row r="118" spans="2:22" ht="37.5" x14ac:dyDescent="0.25">
      <c r="D118" s="17" t="s">
        <v>173</v>
      </c>
      <c r="E118" s="17" t="s">
        <v>169</v>
      </c>
      <c r="F118" s="17" t="s">
        <v>170</v>
      </c>
      <c r="J118" s="17" t="s">
        <v>173</v>
      </c>
      <c r="K118" s="17" t="s">
        <v>174</v>
      </c>
      <c r="L118" s="17" t="s">
        <v>175</v>
      </c>
      <c r="M118" s="17" t="s">
        <v>176</v>
      </c>
      <c r="N118" s="17" t="s">
        <v>177</v>
      </c>
      <c r="O118" s="17" t="s">
        <v>178</v>
      </c>
      <c r="P118" s="17" t="s">
        <v>179</v>
      </c>
      <c r="Q118" s="17" t="s">
        <v>180</v>
      </c>
      <c r="R118" s="17" t="s">
        <v>181</v>
      </c>
      <c r="S118" s="17" t="s">
        <v>182</v>
      </c>
      <c r="T118" s="17" t="s">
        <v>183</v>
      </c>
      <c r="U118" s="17" t="s">
        <v>184</v>
      </c>
      <c r="V118" s="17" t="s">
        <v>12</v>
      </c>
    </row>
    <row r="119" spans="2:22" ht="50" x14ac:dyDescent="0.25">
      <c r="B119" s="142" t="s">
        <v>8</v>
      </c>
      <c r="C119" s="56" t="s">
        <v>171</v>
      </c>
      <c r="D119" s="3">
        <v>43</v>
      </c>
      <c r="E119" s="21">
        <f>SUM(D119)</f>
        <v>43</v>
      </c>
      <c r="F119" s="61">
        <f>E119/SUM(E119:E120)</f>
        <v>0.68253968253968256</v>
      </c>
      <c r="I119" s="17" t="s">
        <v>185</v>
      </c>
      <c r="J119" s="3">
        <v>39</v>
      </c>
      <c r="K119" s="3">
        <v>3.6</v>
      </c>
      <c r="L119" s="3">
        <v>1.4</v>
      </c>
      <c r="M119" s="3">
        <v>3.2</v>
      </c>
      <c r="N119" s="3">
        <v>1.4</v>
      </c>
      <c r="O119" s="3">
        <v>7</v>
      </c>
      <c r="P119" s="3">
        <v>10</v>
      </c>
      <c r="Q119" s="3">
        <v>19.600000000000001</v>
      </c>
      <c r="R119" s="3">
        <v>4.2</v>
      </c>
      <c r="S119" s="3">
        <v>0.6</v>
      </c>
      <c r="T119" s="21">
        <f>SUM(J119:S119)</f>
        <v>89.999999999999986</v>
      </c>
      <c r="U119" s="3">
        <f>336806231/1000000</f>
        <v>336.80623100000003</v>
      </c>
      <c r="V119" s="3" t="s">
        <v>186</v>
      </c>
    </row>
    <row r="120" spans="2:22" ht="25" x14ac:dyDescent="0.25">
      <c r="B120" s="148"/>
      <c r="C120" s="56" t="s">
        <v>172</v>
      </c>
      <c r="D120" s="3">
        <v>20</v>
      </c>
      <c r="E120" s="21">
        <f t="shared" ref="E120:E124" si="16">SUM(D120)</f>
        <v>20</v>
      </c>
      <c r="F120" s="21"/>
      <c r="I120" s="17" t="s">
        <v>187</v>
      </c>
      <c r="J120" s="55"/>
      <c r="K120" s="55"/>
      <c r="L120" s="55"/>
      <c r="M120" s="55"/>
      <c r="N120" s="55"/>
      <c r="O120" s="55"/>
      <c r="P120" s="55"/>
      <c r="Q120" s="55"/>
      <c r="R120" s="55"/>
      <c r="S120" s="55"/>
      <c r="T120" s="55"/>
      <c r="U120" s="25">
        <f>T119/U119</f>
        <v>0.26721595895890649</v>
      </c>
      <c r="V120" s="3"/>
    </row>
    <row r="121" spans="2:22" ht="25" x14ac:dyDescent="0.25">
      <c r="B121" s="142" t="s">
        <v>10</v>
      </c>
      <c r="C121" s="56" t="s">
        <v>171</v>
      </c>
      <c r="D121" s="3">
        <v>61</v>
      </c>
      <c r="E121" s="21">
        <f t="shared" si="16"/>
        <v>61</v>
      </c>
      <c r="F121" s="61">
        <f>E121/SUM(E121:E122)</f>
        <v>0.85915492957746475</v>
      </c>
      <c r="I121" s="17" t="s">
        <v>8</v>
      </c>
      <c r="J121" s="55"/>
      <c r="K121" s="55"/>
      <c r="L121" s="55"/>
      <c r="M121" s="55"/>
      <c r="N121" s="55"/>
      <c r="O121" s="55"/>
      <c r="P121" s="55"/>
      <c r="Q121" s="55"/>
      <c r="R121" s="55"/>
      <c r="S121" s="55"/>
      <c r="T121" s="55"/>
      <c r="U121" s="25">
        <f>U120*F119</f>
        <v>0.18238549579734886</v>
      </c>
      <c r="V121" s="3"/>
    </row>
    <row r="122" spans="2:22" ht="25" x14ac:dyDescent="0.25">
      <c r="B122" s="148"/>
      <c r="C122" s="56" t="s">
        <v>172</v>
      </c>
      <c r="D122" s="3">
        <v>10</v>
      </c>
      <c r="E122" s="21">
        <f t="shared" si="16"/>
        <v>10</v>
      </c>
      <c r="F122" s="21"/>
      <c r="I122" s="17" t="s">
        <v>10</v>
      </c>
      <c r="J122" s="55"/>
      <c r="K122" s="55"/>
      <c r="L122" s="55"/>
      <c r="M122" s="55"/>
      <c r="N122" s="55"/>
      <c r="O122" s="55"/>
      <c r="P122" s="55"/>
      <c r="Q122" s="55"/>
      <c r="R122" s="55"/>
      <c r="S122" s="55"/>
      <c r="T122" s="55"/>
      <c r="U122" s="25">
        <f>U120*F121</f>
        <v>0.22957990840131401</v>
      </c>
      <c r="V122" s="3"/>
    </row>
    <row r="123" spans="2:22" ht="25" x14ac:dyDescent="0.25">
      <c r="B123" s="142" t="s">
        <v>6</v>
      </c>
      <c r="C123" s="56" t="s">
        <v>171</v>
      </c>
      <c r="D123" s="3">
        <v>66</v>
      </c>
      <c r="E123" s="21">
        <f t="shared" si="16"/>
        <v>66</v>
      </c>
      <c r="F123" s="61">
        <f>E123/SUM(E123:E124)</f>
        <v>0.89189189189189189</v>
      </c>
      <c r="I123" s="17" t="s">
        <v>6</v>
      </c>
      <c r="J123" s="55"/>
      <c r="K123" s="55"/>
      <c r="L123" s="55"/>
      <c r="M123" s="55"/>
      <c r="N123" s="55"/>
      <c r="O123" s="55"/>
      <c r="P123" s="55"/>
      <c r="Q123" s="55"/>
      <c r="R123" s="55"/>
      <c r="S123" s="55"/>
      <c r="T123" s="55"/>
      <c r="U123" s="25">
        <f>U120*F123</f>
        <v>0.23832774717956523</v>
      </c>
      <c r="V123" s="3"/>
    </row>
    <row r="124" spans="2:22" ht="25" x14ac:dyDescent="0.25">
      <c r="B124" s="148"/>
      <c r="C124" s="56" t="s">
        <v>172</v>
      </c>
      <c r="D124" s="3">
        <v>8</v>
      </c>
      <c r="E124" s="21">
        <f t="shared" si="16"/>
        <v>8</v>
      </c>
      <c r="F124" s="21"/>
    </row>
    <row r="127" spans="2:22" ht="14" thickBot="1" x14ac:dyDescent="0.3">
      <c r="B127" s="60" t="s">
        <v>137</v>
      </c>
      <c r="C127" s="60"/>
    </row>
    <row r="128" spans="2:22" x14ac:dyDescent="0.25">
      <c r="B128" s="13" t="s">
        <v>162</v>
      </c>
    </row>
    <row r="129" spans="2:37" x14ac:dyDescent="0.25">
      <c r="B129" s="13" t="s">
        <v>163</v>
      </c>
    </row>
    <row r="130" spans="2:37" x14ac:dyDescent="0.25">
      <c r="B130" s="13" t="s">
        <v>188</v>
      </c>
    </row>
    <row r="131" spans="2:37" ht="37.5" x14ac:dyDescent="0.25">
      <c r="D131" s="17" t="s">
        <v>189</v>
      </c>
      <c r="E131" s="17" t="s">
        <v>169</v>
      </c>
      <c r="F131" s="17" t="s">
        <v>170</v>
      </c>
      <c r="J131" s="17" t="s">
        <v>190</v>
      </c>
      <c r="K131" s="17" t="s">
        <v>191</v>
      </c>
      <c r="L131" s="17" t="s">
        <v>192</v>
      </c>
      <c r="M131" s="17" t="s">
        <v>193</v>
      </c>
      <c r="N131" s="17" t="s">
        <v>194</v>
      </c>
      <c r="O131" s="17" t="s">
        <v>195</v>
      </c>
      <c r="P131" s="17" t="s">
        <v>196</v>
      </c>
      <c r="Q131" s="17" t="s">
        <v>197</v>
      </c>
      <c r="R131" s="17" t="s">
        <v>198</v>
      </c>
      <c r="S131" s="17" t="s">
        <v>199</v>
      </c>
      <c r="T131" s="17" t="s">
        <v>200</v>
      </c>
      <c r="U131" s="17" t="s">
        <v>183</v>
      </c>
      <c r="V131" s="17" t="s">
        <v>201</v>
      </c>
      <c r="W131" s="17" t="s">
        <v>12</v>
      </c>
    </row>
    <row r="132" spans="2:37" ht="62.5" x14ac:dyDescent="0.25">
      <c r="B132" s="142" t="s">
        <v>8</v>
      </c>
      <c r="C132" s="56" t="s">
        <v>171</v>
      </c>
      <c r="D132" s="3">
        <v>50</v>
      </c>
      <c r="E132" s="21">
        <f>SUM(D132)</f>
        <v>50</v>
      </c>
      <c r="F132" s="61">
        <f>E132/SUM(E132:E133)</f>
        <v>1</v>
      </c>
      <c r="I132" s="17" t="s">
        <v>185</v>
      </c>
      <c r="J132" s="3">
        <v>4.8</v>
      </c>
      <c r="K132" s="3">
        <v>5.6</v>
      </c>
      <c r="L132" s="3">
        <v>0.5</v>
      </c>
      <c r="M132" s="3">
        <v>0.8</v>
      </c>
      <c r="N132" s="3">
        <v>0.04</v>
      </c>
      <c r="O132" s="3">
        <v>1.1000000000000001</v>
      </c>
      <c r="P132" s="3">
        <v>16</v>
      </c>
      <c r="Q132" s="3">
        <v>0.2</v>
      </c>
      <c r="R132" s="3">
        <v>9</v>
      </c>
      <c r="S132" s="3">
        <v>1.2</v>
      </c>
      <c r="T132" s="3">
        <v>0.05</v>
      </c>
      <c r="U132" s="21">
        <f>SUM(J132:T132)</f>
        <v>39.289999999999992</v>
      </c>
      <c r="V132" s="3">
        <f>40083484/1000000</f>
        <v>40.083483999999999</v>
      </c>
      <c r="W132" s="3" t="s">
        <v>186</v>
      </c>
    </row>
    <row r="133" spans="2:37" ht="25" x14ac:dyDescent="0.25">
      <c r="B133" s="148"/>
      <c r="C133" s="56" t="s">
        <v>172</v>
      </c>
      <c r="D133" s="3">
        <v>0</v>
      </c>
      <c r="E133" s="21">
        <f t="shared" ref="E133:E137" si="17">SUM(D133)</f>
        <v>0</v>
      </c>
      <c r="F133" s="21"/>
      <c r="I133" s="17" t="s">
        <v>187</v>
      </c>
      <c r="J133" s="55"/>
      <c r="K133" s="55"/>
      <c r="L133" s="55"/>
      <c r="M133" s="55"/>
      <c r="N133" s="55"/>
      <c r="O133" s="55"/>
      <c r="P133" s="55"/>
      <c r="Q133" s="55"/>
      <c r="R133" s="55"/>
      <c r="S133" s="55"/>
      <c r="T133" s="55"/>
      <c r="U133" s="55"/>
      <c r="V133" s="25">
        <f>U132/V132</f>
        <v>0.98020421578124284</v>
      </c>
      <c r="W133" s="3"/>
    </row>
    <row r="134" spans="2:37" ht="25" x14ac:dyDescent="0.25">
      <c r="B134" s="142" t="s">
        <v>10</v>
      </c>
      <c r="C134" s="56" t="s">
        <v>171</v>
      </c>
      <c r="D134" s="3">
        <v>78</v>
      </c>
      <c r="E134" s="21">
        <f t="shared" si="17"/>
        <v>78</v>
      </c>
      <c r="F134" s="61">
        <f>E134/SUM(E134:E135)</f>
        <v>0.96296296296296291</v>
      </c>
      <c r="I134" s="17" t="s">
        <v>8</v>
      </c>
      <c r="J134" s="55"/>
      <c r="K134" s="55"/>
      <c r="L134" s="55"/>
      <c r="M134" s="55"/>
      <c r="N134" s="55"/>
      <c r="O134" s="55"/>
      <c r="P134" s="55"/>
      <c r="Q134" s="55"/>
      <c r="R134" s="55"/>
      <c r="S134" s="55"/>
      <c r="T134" s="55"/>
      <c r="U134" s="55"/>
      <c r="V134" s="25">
        <f>V133*F132</f>
        <v>0.98020421578124284</v>
      </c>
      <c r="W134" s="3"/>
    </row>
    <row r="135" spans="2:37" ht="25" x14ac:dyDescent="0.25">
      <c r="B135" s="148"/>
      <c r="C135" s="56" t="s">
        <v>172</v>
      </c>
      <c r="D135" s="3">
        <v>3</v>
      </c>
      <c r="E135" s="21">
        <f t="shared" si="17"/>
        <v>3</v>
      </c>
      <c r="F135" s="21"/>
      <c r="I135" s="17" t="s">
        <v>10</v>
      </c>
      <c r="J135" s="55"/>
      <c r="K135" s="55"/>
      <c r="L135" s="55"/>
      <c r="M135" s="55"/>
      <c r="N135" s="55"/>
      <c r="O135" s="55"/>
      <c r="P135" s="55"/>
      <c r="Q135" s="55"/>
      <c r="R135" s="55"/>
      <c r="S135" s="55"/>
      <c r="T135" s="55"/>
      <c r="U135" s="55"/>
      <c r="V135" s="25">
        <f>V133*F134</f>
        <v>0.943900355937493</v>
      </c>
      <c r="W135" s="3"/>
    </row>
    <row r="136" spans="2:37" ht="25" x14ac:dyDescent="0.25">
      <c r="B136" s="142" t="s">
        <v>6</v>
      </c>
      <c r="C136" s="56" t="s">
        <v>171</v>
      </c>
      <c r="D136" s="3">
        <v>70</v>
      </c>
      <c r="E136" s="21">
        <f t="shared" si="17"/>
        <v>70</v>
      </c>
      <c r="F136" s="61">
        <f>E136/SUM(E136:E137)</f>
        <v>0.95890410958904104</v>
      </c>
      <c r="I136" s="17" t="s">
        <v>6</v>
      </c>
      <c r="J136" s="55"/>
      <c r="K136" s="55"/>
      <c r="L136" s="55"/>
      <c r="M136" s="55"/>
      <c r="N136" s="55"/>
      <c r="O136" s="55"/>
      <c r="P136" s="55"/>
      <c r="Q136" s="55"/>
      <c r="R136" s="55"/>
      <c r="S136" s="55"/>
      <c r="T136" s="55"/>
      <c r="U136" s="55"/>
      <c r="V136" s="25">
        <f>V133*F136</f>
        <v>0.93992185074913692</v>
      </c>
      <c r="W136" s="3"/>
    </row>
    <row r="137" spans="2:37" ht="25" x14ac:dyDescent="0.25">
      <c r="B137" s="148"/>
      <c r="C137" s="56" t="s">
        <v>172</v>
      </c>
      <c r="D137" s="3">
        <v>3</v>
      </c>
      <c r="E137" s="21">
        <f t="shared" si="17"/>
        <v>3</v>
      </c>
      <c r="F137" s="21"/>
    </row>
    <row r="139" spans="2:37" ht="14" thickBot="1" x14ac:dyDescent="0.3">
      <c r="B139" s="60" t="s">
        <v>44</v>
      </c>
      <c r="C139" s="60"/>
    </row>
    <row r="140" spans="2:37" x14ac:dyDescent="0.25">
      <c r="B140" s="13" t="s">
        <v>202</v>
      </c>
    </row>
    <row r="141" spans="2:37" x14ac:dyDescent="0.25">
      <c r="B141" s="71" t="s">
        <v>203</v>
      </c>
    </row>
    <row r="142" spans="2:37" x14ac:dyDescent="0.25">
      <c r="B142" s="13" t="s">
        <v>204</v>
      </c>
    </row>
    <row r="144" spans="2:37" ht="62.5" x14ac:dyDescent="0.25">
      <c r="B144" s="8"/>
      <c r="C144" s="17" t="s">
        <v>205</v>
      </c>
      <c r="D144" s="17" t="s">
        <v>206</v>
      </c>
      <c r="E144" s="17" t="s">
        <v>207</v>
      </c>
      <c r="F144" s="17" t="s">
        <v>208</v>
      </c>
      <c r="G144" s="17" t="s">
        <v>209</v>
      </c>
      <c r="H144" s="17" t="s">
        <v>210</v>
      </c>
      <c r="I144" s="17" t="s">
        <v>211</v>
      </c>
      <c r="J144" s="17" t="s">
        <v>212</v>
      </c>
      <c r="K144" s="17" t="s">
        <v>213</v>
      </c>
      <c r="L144" s="17" t="s">
        <v>214</v>
      </c>
      <c r="M144" s="17" t="s">
        <v>113</v>
      </c>
      <c r="N144" s="17" t="s">
        <v>112</v>
      </c>
      <c r="O144" s="17" t="s">
        <v>215</v>
      </c>
      <c r="P144" s="17" t="s">
        <v>216</v>
      </c>
      <c r="Q144" s="17" t="s">
        <v>217</v>
      </c>
      <c r="R144" s="17" t="s">
        <v>218</v>
      </c>
      <c r="S144" s="17" t="s">
        <v>219</v>
      </c>
      <c r="T144" s="17" t="s">
        <v>220</v>
      </c>
      <c r="U144" s="17" t="s">
        <v>221</v>
      </c>
      <c r="V144" s="17" t="s">
        <v>222</v>
      </c>
      <c r="W144" s="17" t="s">
        <v>223</v>
      </c>
      <c r="X144" s="17" t="s">
        <v>224</v>
      </c>
      <c r="Y144" s="17" t="s">
        <v>225</v>
      </c>
      <c r="Z144" s="17" t="s">
        <v>226</v>
      </c>
      <c r="AA144" s="17" t="s">
        <v>227</v>
      </c>
      <c r="AB144" s="17" t="s">
        <v>228</v>
      </c>
      <c r="AC144" s="17" t="s">
        <v>229</v>
      </c>
      <c r="AD144" s="17" t="s">
        <v>230</v>
      </c>
      <c r="AE144" s="17" t="s">
        <v>231</v>
      </c>
      <c r="AF144" s="17" t="s">
        <v>232</v>
      </c>
      <c r="AG144" s="17" t="s">
        <v>233</v>
      </c>
      <c r="AH144" s="17" t="s">
        <v>169</v>
      </c>
      <c r="AI144" s="17" t="s">
        <v>234</v>
      </c>
      <c r="AJ144" s="17" t="s">
        <v>235</v>
      </c>
      <c r="AK144" s="17" t="s">
        <v>234</v>
      </c>
    </row>
    <row r="145" spans="2:37" x14ac:dyDescent="0.25">
      <c r="B145" s="8"/>
      <c r="C145" s="56" t="s">
        <v>236</v>
      </c>
      <c r="D145" s="3">
        <v>9131761</v>
      </c>
      <c r="E145" s="3">
        <v>11787423</v>
      </c>
      <c r="F145" s="3">
        <v>6446596</v>
      </c>
      <c r="G145" s="3">
        <v>3859686</v>
      </c>
      <c r="H145" s="3">
        <v>1344976</v>
      </c>
      <c r="I145" s="3">
        <v>10864042</v>
      </c>
      <c r="J145" s="3">
        <v>5946952</v>
      </c>
      <c r="K145" s="3">
        <v>1370286</v>
      </c>
      <c r="L145" s="3">
        <v>5583911</v>
      </c>
      <c r="M145" s="3">
        <v>68287487</v>
      </c>
      <c r="N145" s="3">
        <v>83901923</v>
      </c>
      <c r="O145" s="3">
        <v>10405588</v>
      </c>
      <c r="P145" s="3">
        <v>9592186</v>
      </c>
      <c r="Q145" s="3">
        <v>5307600</v>
      </c>
      <c r="R145" s="3">
        <v>58993475</v>
      </c>
      <c r="S145" s="3">
        <v>1877445</v>
      </c>
      <c r="T145" s="3">
        <v>2871585</v>
      </c>
      <c r="U145" s="3">
        <v>666430</v>
      </c>
      <c r="V145" s="3">
        <v>552747</v>
      </c>
      <c r="W145" s="3">
        <v>17877117</v>
      </c>
      <c r="X145" s="3">
        <v>36687353</v>
      </c>
      <c r="Y145" s="3">
        <v>10578174</v>
      </c>
      <c r="Z145" s="3">
        <v>19059479</v>
      </c>
      <c r="AA145" s="3">
        <v>5426740</v>
      </c>
      <c r="AB145" s="3">
        <v>2120461</v>
      </c>
      <c r="AC145" s="3">
        <v>48347910</v>
      </c>
      <c r="AD145" s="3">
        <v>10536632</v>
      </c>
      <c r="AE145" s="3">
        <v>5519594</v>
      </c>
      <c r="AF145" s="3">
        <v>8888093</v>
      </c>
      <c r="AG145" s="3">
        <v>68492000</v>
      </c>
      <c r="AH145" s="21">
        <f>SUM(D145:AG145)</f>
        <v>532325652</v>
      </c>
      <c r="AI145" s="55"/>
      <c r="AJ145" s="55"/>
      <c r="AK145" s="55"/>
    </row>
    <row r="146" spans="2:37" ht="25" x14ac:dyDescent="0.25">
      <c r="B146" s="8"/>
      <c r="C146" s="56" t="s">
        <v>237</v>
      </c>
      <c r="D146" s="7">
        <f>D145/$AH$145</f>
        <v>1.7154463561338953E-2</v>
      </c>
      <c r="E146" s="7">
        <f t="shared" ref="E146:AG146" si="18">E145/$AH$145</f>
        <v>2.2143255647578675E-2</v>
      </c>
      <c r="F146" s="7">
        <f t="shared" si="18"/>
        <v>1.2110248634044786E-2</v>
      </c>
      <c r="G146" s="7">
        <f t="shared" si="18"/>
        <v>7.2506105717407739E-3</v>
      </c>
      <c r="H146" s="7">
        <f t="shared" si="18"/>
        <v>2.5266037714823482E-3</v>
      </c>
      <c r="I146" s="7">
        <f t="shared" si="18"/>
        <v>2.0408638883327758E-2</v>
      </c>
      <c r="J146" s="7">
        <f t="shared" si="18"/>
        <v>1.1171642729702606E-2</v>
      </c>
      <c r="K146" s="7">
        <f t="shared" si="18"/>
        <v>2.5741498551717359E-3</v>
      </c>
      <c r="L146" s="7">
        <f t="shared" si="18"/>
        <v>1.048965230028028E-2</v>
      </c>
      <c r="M146" s="7">
        <f t="shared" si="18"/>
        <v>0.12828141334808341</v>
      </c>
      <c r="N146" s="7">
        <f t="shared" si="18"/>
        <v>0.15761390172495388</v>
      </c>
      <c r="O146" s="7">
        <f t="shared" si="18"/>
        <v>1.9547410426127652E-2</v>
      </c>
      <c r="P146" s="7">
        <f t="shared" si="18"/>
        <v>1.8019394639279943E-2</v>
      </c>
      <c r="Q146" s="7">
        <f t="shared" si="18"/>
        <v>9.9705884547528819E-3</v>
      </c>
      <c r="R146" s="7">
        <f t="shared" si="18"/>
        <v>0.11082215327845971</v>
      </c>
      <c r="S146" s="7">
        <f t="shared" si="18"/>
        <v>3.5268730577725379E-3</v>
      </c>
      <c r="T146" s="7">
        <f t="shared" si="18"/>
        <v>5.3944140944761389E-3</v>
      </c>
      <c r="U146" s="7">
        <f t="shared" si="18"/>
        <v>1.2519216338648283E-3</v>
      </c>
      <c r="V146" s="7">
        <f t="shared" si="18"/>
        <v>1.0383625097217747E-3</v>
      </c>
      <c r="W146" s="7">
        <f t="shared" si="18"/>
        <v>3.3583046266573678E-2</v>
      </c>
      <c r="X146" s="7">
        <f t="shared" si="18"/>
        <v>6.8919002610830407E-2</v>
      </c>
      <c r="Y146" s="7">
        <f t="shared" si="18"/>
        <v>1.9871621741798007E-2</v>
      </c>
      <c r="Z146" s="7">
        <f t="shared" si="18"/>
        <v>3.5804171616362387E-2</v>
      </c>
      <c r="AA146" s="7">
        <f t="shared" si="18"/>
        <v>1.0194398822621457E-2</v>
      </c>
      <c r="AB146" s="7">
        <f t="shared" si="18"/>
        <v>3.9833906031640949E-3</v>
      </c>
      <c r="AC146" s="7">
        <f t="shared" si="18"/>
        <v>9.0823934218372024E-2</v>
      </c>
      <c r="AD146" s="7">
        <f t="shared" si="18"/>
        <v>1.9793583045289727E-2</v>
      </c>
      <c r="AE146" s="7">
        <f t="shared" si="18"/>
        <v>1.0368829642648895E-2</v>
      </c>
      <c r="AF146" s="7">
        <f t="shared" si="18"/>
        <v>1.6696721201780448E-2</v>
      </c>
      <c r="AG146" s="7">
        <f t="shared" si="18"/>
        <v>0.1286656011083982</v>
      </c>
      <c r="AH146" s="37">
        <f>SUM(D146:AG146)</f>
        <v>1</v>
      </c>
      <c r="AI146" s="55"/>
      <c r="AJ146" s="55"/>
      <c r="AK146" s="55"/>
    </row>
    <row r="147" spans="2:37" ht="50" x14ac:dyDescent="0.25">
      <c r="B147" s="142" t="s">
        <v>8</v>
      </c>
      <c r="C147" s="56" t="s">
        <v>238</v>
      </c>
      <c r="D147" s="3" t="s">
        <v>239</v>
      </c>
      <c r="E147" s="3">
        <v>63</v>
      </c>
      <c r="F147" s="3" t="s">
        <v>239</v>
      </c>
      <c r="G147" s="3">
        <v>16</v>
      </c>
      <c r="H147" s="3" t="s">
        <v>239</v>
      </c>
      <c r="I147" s="3">
        <v>53</v>
      </c>
      <c r="J147" s="3">
        <v>52</v>
      </c>
      <c r="K147" s="3" t="s">
        <v>239</v>
      </c>
      <c r="L147" s="3">
        <v>2</v>
      </c>
      <c r="M147" s="3">
        <v>98</v>
      </c>
      <c r="N147" s="3">
        <v>77</v>
      </c>
      <c r="O147" s="3" t="s">
        <v>239</v>
      </c>
      <c r="P147" s="3" t="s">
        <v>239</v>
      </c>
      <c r="Q147" s="3">
        <v>17</v>
      </c>
      <c r="R147" s="3">
        <v>91</v>
      </c>
      <c r="S147" s="3" t="s">
        <v>239</v>
      </c>
      <c r="T147" s="3" t="s">
        <v>239</v>
      </c>
      <c r="U147" s="3" t="s">
        <v>239</v>
      </c>
      <c r="V147" s="3" t="s">
        <v>239</v>
      </c>
      <c r="W147" s="3" t="s">
        <v>239</v>
      </c>
      <c r="X147" s="3">
        <v>63</v>
      </c>
      <c r="Y147" s="3">
        <v>32</v>
      </c>
      <c r="Z147" s="3">
        <v>63</v>
      </c>
      <c r="AA147" s="3">
        <v>68</v>
      </c>
      <c r="AB147" s="3" t="s">
        <v>239</v>
      </c>
      <c r="AC147" s="3">
        <v>95</v>
      </c>
      <c r="AD147" s="3">
        <v>100</v>
      </c>
      <c r="AE147" s="3">
        <v>83</v>
      </c>
      <c r="AF147" s="3" t="s">
        <v>239</v>
      </c>
      <c r="AG147" s="3">
        <v>59</v>
      </c>
      <c r="AH147" s="21">
        <f t="shared" ref="AH147:AH149" si="19">SUM(D147:AG147)</f>
        <v>1032</v>
      </c>
      <c r="AI147" s="61">
        <f>SUM(AH147,AH149)/SUM(AH147:AH149)</f>
        <v>0.91764705882352937</v>
      </c>
      <c r="AJ147" s="21">
        <f>SUMPRODUCT(D147:AG147,$D$146:$AG$146)</f>
        <v>65.142948728309634</v>
      </c>
      <c r="AK147" s="61">
        <f>SUM(AJ147,AJ149)/SUM(AJ147:AJ149)</f>
        <v>0.90947427742998455</v>
      </c>
    </row>
    <row r="148" spans="2:37" x14ac:dyDescent="0.25">
      <c r="B148" s="143"/>
      <c r="C148" s="56" t="s">
        <v>240</v>
      </c>
      <c r="D148" s="3" t="s">
        <v>239</v>
      </c>
      <c r="E148" s="3">
        <v>18</v>
      </c>
      <c r="F148" s="3" t="s">
        <v>239</v>
      </c>
      <c r="G148" s="3">
        <v>0</v>
      </c>
      <c r="H148" s="3" t="s">
        <v>239</v>
      </c>
      <c r="I148" s="3">
        <v>29</v>
      </c>
      <c r="J148" s="3">
        <v>22</v>
      </c>
      <c r="K148" s="3" t="s">
        <v>239</v>
      </c>
      <c r="L148" s="3">
        <v>0</v>
      </c>
      <c r="M148" s="3">
        <v>0</v>
      </c>
      <c r="N148" s="3">
        <v>0</v>
      </c>
      <c r="O148" s="3" t="s">
        <v>239</v>
      </c>
      <c r="P148" s="3" t="s">
        <v>239</v>
      </c>
      <c r="Q148" s="3">
        <v>4</v>
      </c>
      <c r="R148" s="3">
        <v>5</v>
      </c>
      <c r="S148" s="3" t="s">
        <v>239</v>
      </c>
      <c r="T148" s="3" t="s">
        <v>239</v>
      </c>
      <c r="U148" s="3" t="s">
        <v>239</v>
      </c>
      <c r="V148" s="3" t="s">
        <v>239</v>
      </c>
      <c r="W148" s="3" t="s">
        <v>239</v>
      </c>
      <c r="X148" s="3">
        <v>31</v>
      </c>
      <c r="Y148" s="3">
        <v>1</v>
      </c>
      <c r="Z148" s="3"/>
      <c r="AA148" s="3">
        <v>0</v>
      </c>
      <c r="AB148" s="3" t="s">
        <v>239</v>
      </c>
      <c r="AC148" s="3">
        <v>1</v>
      </c>
      <c r="AD148" s="3">
        <v>0</v>
      </c>
      <c r="AE148" s="3">
        <v>0</v>
      </c>
      <c r="AF148" s="3" t="s">
        <v>239</v>
      </c>
      <c r="AG148" s="3">
        <v>29</v>
      </c>
      <c r="AH148" s="21">
        <f t="shared" si="19"/>
        <v>140</v>
      </c>
      <c r="AI148" s="55"/>
      <c r="AJ148" s="21">
        <f t="shared" ref="AJ148:AJ149" si="20">SUMPRODUCT(D148:AG148,$D$146:$AG$146)</f>
        <v>7.8086854585771492</v>
      </c>
      <c r="AK148" s="55"/>
    </row>
    <row r="149" spans="2:37" ht="25" x14ac:dyDescent="0.25">
      <c r="B149" s="148"/>
      <c r="C149" s="56" t="s">
        <v>241</v>
      </c>
      <c r="D149" s="3" t="s">
        <v>239</v>
      </c>
      <c r="E149" s="3">
        <v>19</v>
      </c>
      <c r="F149" s="3" t="s">
        <v>239</v>
      </c>
      <c r="G149" s="3">
        <v>84</v>
      </c>
      <c r="H149" s="3" t="s">
        <v>239</v>
      </c>
      <c r="I149" s="3">
        <v>18</v>
      </c>
      <c r="J149" s="3">
        <v>26</v>
      </c>
      <c r="K149" s="3" t="s">
        <v>239</v>
      </c>
      <c r="L149" s="3">
        <v>98</v>
      </c>
      <c r="M149" s="3">
        <v>2</v>
      </c>
      <c r="N149" s="3">
        <v>23</v>
      </c>
      <c r="O149" s="3" t="s">
        <v>239</v>
      </c>
      <c r="P149" s="3" t="s">
        <v>239</v>
      </c>
      <c r="Q149" s="3">
        <v>79</v>
      </c>
      <c r="R149" s="3">
        <v>4</v>
      </c>
      <c r="S149" s="3" t="s">
        <v>239</v>
      </c>
      <c r="T149" s="3" t="s">
        <v>239</v>
      </c>
      <c r="U149" s="3" t="s">
        <v>239</v>
      </c>
      <c r="V149" s="3" t="s">
        <v>239</v>
      </c>
      <c r="W149" s="3" t="s">
        <v>239</v>
      </c>
      <c r="X149" s="3">
        <v>6</v>
      </c>
      <c r="Y149" s="3">
        <v>67</v>
      </c>
      <c r="Z149" s="3">
        <v>37</v>
      </c>
      <c r="AA149" s="3">
        <v>32</v>
      </c>
      <c r="AB149" s="3" t="s">
        <v>239</v>
      </c>
      <c r="AC149" s="3">
        <v>4</v>
      </c>
      <c r="AD149" s="3"/>
      <c r="AE149" s="3">
        <v>17</v>
      </c>
      <c r="AF149" s="3" t="s">
        <v>239</v>
      </c>
      <c r="AG149" s="3">
        <v>12</v>
      </c>
      <c r="AH149" s="21">
        <f t="shared" si="19"/>
        <v>528</v>
      </c>
      <c r="AI149" s="55"/>
      <c r="AJ149" s="21">
        <f t="shared" si="20"/>
        <v>13.307665787633319</v>
      </c>
      <c r="AK149" s="55"/>
    </row>
    <row r="152" spans="2:37" ht="14" thickBot="1" x14ac:dyDescent="0.3">
      <c r="B152" s="60" t="s">
        <v>242</v>
      </c>
    </row>
    <row r="153" spans="2:37" ht="14.25" customHeight="1" x14ac:dyDescent="0.25">
      <c r="B153" s="13" t="s">
        <v>243</v>
      </c>
    </row>
    <row r="154" spans="2:37" ht="14.25" customHeight="1" x14ac:dyDescent="0.25">
      <c r="B154" s="14" t="s">
        <v>244</v>
      </c>
    </row>
    <row r="155" spans="2:37" ht="14.25" customHeight="1" x14ac:dyDescent="0.25">
      <c r="B155" s="14"/>
    </row>
    <row r="156" spans="2:37" x14ac:dyDescent="0.25">
      <c r="C156" s="17" t="s">
        <v>245</v>
      </c>
      <c r="D156" s="17" t="s">
        <v>246</v>
      </c>
      <c r="E156" s="17" t="s">
        <v>247</v>
      </c>
      <c r="F156" s="17" t="s">
        <v>248</v>
      </c>
    </row>
    <row r="157" spans="2:37" ht="92.25" customHeight="1" x14ac:dyDescent="0.25">
      <c r="B157" s="142" t="s">
        <v>249</v>
      </c>
      <c r="C157" s="3" t="s">
        <v>250</v>
      </c>
      <c r="D157" s="7">
        <f>500/(500+1400)</f>
        <v>0.26315789473684209</v>
      </c>
      <c r="E157" s="3" t="s">
        <v>251</v>
      </c>
      <c r="F157" s="139" t="s">
        <v>252</v>
      </c>
    </row>
    <row r="158" spans="2:37" ht="125.25" customHeight="1" x14ac:dyDescent="0.25">
      <c r="B158" s="143"/>
      <c r="C158" s="3" t="s">
        <v>253</v>
      </c>
      <c r="D158" s="7">
        <f>1400/(500+1400)</f>
        <v>0.73684210526315785</v>
      </c>
      <c r="E158" s="3" t="s">
        <v>251</v>
      </c>
      <c r="F158" s="139"/>
      <c r="H158" s="69"/>
    </row>
    <row r="160" spans="2:37" ht="14" thickBot="1" x14ac:dyDescent="0.3">
      <c r="B160" s="60" t="s">
        <v>144</v>
      </c>
    </row>
    <row r="161" spans="2:6" x14ac:dyDescent="0.25">
      <c r="B161" s="13" t="s">
        <v>254</v>
      </c>
    </row>
    <row r="162" spans="2:6" x14ac:dyDescent="0.25">
      <c r="B162" s="14" t="s">
        <v>255</v>
      </c>
    </row>
    <row r="163" spans="2:6" x14ac:dyDescent="0.25">
      <c r="B163" s="14"/>
    </row>
    <row r="164" spans="2:6" x14ac:dyDescent="0.25">
      <c r="C164" s="17" t="s">
        <v>245</v>
      </c>
      <c r="D164" s="17" t="s">
        <v>246</v>
      </c>
      <c r="E164" s="17" t="s">
        <v>247</v>
      </c>
      <c r="F164" s="17" t="s">
        <v>248</v>
      </c>
    </row>
    <row r="165" spans="2:6" ht="65.25" customHeight="1" x14ac:dyDescent="0.25">
      <c r="B165" s="142" t="s">
        <v>6</v>
      </c>
      <c r="C165" s="3" t="s">
        <v>250</v>
      </c>
      <c r="D165" s="7">
        <f>1-D166</f>
        <v>0.35</v>
      </c>
      <c r="E165" s="3" t="s">
        <v>256</v>
      </c>
      <c r="F165" s="139" t="s">
        <v>257</v>
      </c>
    </row>
    <row r="166" spans="2:6" ht="73.5" customHeight="1" x14ac:dyDescent="0.25">
      <c r="B166" s="143"/>
      <c r="C166" s="3" t="s">
        <v>253</v>
      </c>
      <c r="D166" s="7">
        <v>0.65</v>
      </c>
      <c r="E166" s="3" t="s">
        <v>256</v>
      </c>
      <c r="F166" s="139"/>
    </row>
  </sheetData>
  <mergeCells count="22">
    <mergeCell ref="F157:F158"/>
    <mergeCell ref="B157:B158"/>
    <mergeCell ref="B165:B166"/>
    <mergeCell ref="F165:F166"/>
    <mergeCell ref="E48:E50"/>
    <mergeCell ref="C53:C57"/>
    <mergeCell ref="B106:B107"/>
    <mergeCell ref="B108:B109"/>
    <mergeCell ref="B110:B111"/>
    <mergeCell ref="B147:B149"/>
    <mergeCell ref="B132:B133"/>
    <mergeCell ref="B134:B135"/>
    <mergeCell ref="B136:B137"/>
    <mergeCell ref="B119:B120"/>
    <mergeCell ref="B121:B122"/>
    <mergeCell ref="B123:B124"/>
    <mergeCell ref="B13:H13"/>
    <mergeCell ref="B23:B24"/>
    <mergeCell ref="B21:B22"/>
    <mergeCell ref="F48:F50"/>
    <mergeCell ref="B48:B50"/>
    <mergeCell ref="B16:B20"/>
  </mergeCells>
  <hyperlinks>
    <hyperlink ref="J76" r:id="rId1" display="https://unesda.eu/wp-content/uploads/2024/05/PET-plastic-Market-in-Europe-State-of-Play-Production-Collection-Recycling-Data_2022.pdf" xr:uid="{7AF4BFE8-1368-480F-A317-AD53F8BD04E7}"/>
    <hyperlink ref="J78" r:id="rId2" xr:uid="{D02E08E5-6D35-4FA9-88AA-F70E1DB68A25}"/>
    <hyperlink ref="J80" r:id="rId3" xr:uid="{990AA214-8983-48CE-97C8-271DB4BB4EAE}"/>
    <hyperlink ref="J81" r:id="rId4" xr:uid="{D09B3B9D-474C-43B2-8C2C-D6B1F4C207A6}"/>
    <hyperlink ref="J77" r:id="rId5" xr:uid="{2F0B83D7-8788-4F44-B9BF-C3B2CEE383CC}"/>
    <hyperlink ref="B141" r:id="rId6" xr:uid="{52CF773A-1DE7-4148-9F0D-785343E0405B}"/>
    <hyperlink ref="B154" r:id="rId7" xr:uid="{7F274348-225F-4976-8DEE-81D29E16EF65}"/>
    <hyperlink ref="B162" r:id="rId8" xr:uid="{253013F3-DA3D-4035-993C-70127B273D9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9E9-57A8-4D2F-8B3C-756BDE545748}">
  <sheetPr>
    <tabColor theme="1"/>
  </sheetPr>
  <dimension ref="A1"/>
  <sheetViews>
    <sheetView workbookViewId="0"/>
  </sheetViews>
  <sheetFormatPr baseColWidth="10" defaultColWidth="8.81640625" defaultRowHeight="12.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FD66E-2A5C-4EA8-A3AF-7422CC60E14D}">
  <sheetPr>
    <tabColor theme="9" tint="0.79998168889431442"/>
  </sheetPr>
  <dimension ref="B2:E14"/>
  <sheetViews>
    <sheetView workbookViewId="0"/>
  </sheetViews>
  <sheetFormatPr baseColWidth="10" defaultColWidth="8.81640625" defaultRowHeight="12.5" x14ac:dyDescent="0.25"/>
  <cols>
    <col min="2" max="2" width="29.1796875" customWidth="1"/>
    <col min="3" max="4" width="29.1796875" style="119" customWidth="1"/>
  </cols>
  <sheetData>
    <row r="2" spans="2:5" ht="15.5" thickBot="1" x14ac:dyDescent="0.3">
      <c r="B2" s="4" t="s">
        <v>258</v>
      </c>
      <c r="C2" s="123"/>
      <c r="D2" s="123"/>
      <c r="E2" s="4"/>
    </row>
    <row r="3" spans="2:5" ht="13" thickTop="1" x14ac:dyDescent="0.25"/>
    <row r="4" spans="2:5" x14ac:dyDescent="0.25">
      <c r="B4" s="85" t="s">
        <v>259</v>
      </c>
    </row>
    <row r="5" spans="2:5" ht="25" x14ac:dyDescent="0.25">
      <c r="B5" s="2" t="s">
        <v>260</v>
      </c>
      <c r="C5" s="118" t="s">
        <v>261</v>
      </c>
      <c r="D5" s="118" t="s">
        <v>262</v>
      </c>
    </row>
    <row r="6" spans="2:5" x14ac:dyDescent="0.25">
      <c r="B6" s="17" t="s">
        <v>263</v>
      </c>
      <c r="C6" s="23">
        <f>Aluminium!H48</f>
        <v>0.75562047295992063</v>
      </c>
      <c r="D6" s="23">
        <f>Aluminium!J48</f>
        <v>0.74777331135193437</v>
      </c>
    </row>
    <row r="7" spans="2:5" x14ac:dyDescent="0.25">
      <c r="B7" s="17" t="s">
        <v>264</v>
      </c>
      <c r="C7" s="23">
        <f>Glass!H48</f>
        <v>0.44479875850844397</v>
      </c>
      <c r="D7" s="23">
        <f>Glass!J48</f>
        <v>0.41909918769655524</v>
      </c>
    </row>
    <row r="8" spans="2:5" x14ac:dyDescent="0.25">
      <c r="B8" s="17" t="s">
        <v>265</v>
      </c>
      <c r="C8" s="23">
        <f>PET!H48</f>
        <v>0.61288635164565297</v>
      </c>
      <c r="D8" s="23">
        <f>PET!J48</f>
        <v>0.46970567009114994</v>
      </c>
    </row>
    <row r="10" spans="2:5" x14ac:dyDescent="0.25">
      <c r="B10" s="85" t="s">
        <v>266</v>
      </c>
    </row>
    <row r="11" spans="2:5" ht="25" x14ac:dyDescent="0.25">
      <c r="B11" s="2" t="s">
        <v>260</v>
      </c>
      <c r="C11" s="118" t="s">
        <v>261</v>
      </c>
      <c r="D11" s="118" t="s">
        <v>262</v>
      </c>
    </row>
    <row r="12" spans="2:5" x14ac:dyDescent="0.25">
      <c r="B12" s="17" t="s">
        <v>263</v>
      </c>
      <c r="C12" s="23">
        <f>Aluminium!H49</f>
        <v>0.75479346012924642</v>
      </c>
      <c r="D12" s="23">
        <f>Aluminium!J49</f>
        <v>0.74668073427658943</v>
      </c>
    </row>
    <row r="13" spans="2:5" x14ac:dyDescent="0.25">
      <c r="B13" s="17" t="s">
        <v>264</v>
      </c>
      <c r="C13" s="23">
        <f>Glass!H49</f>
        <v>0.44023136884145003</v>
      </c>
      <c r="D13" s="23">
        <f>Glass!J49</f>
        <v>0.41477265001865737</v>
      </c>
    </row>
    <row r="14" spans="2:5" x14ac:dyDescent="0.25">
      <c r="B14" s="17" t="s">
        <v>265</v>
      </c>
      <c r="C14" s="23">
        <f>PET!H49</f>
        <v>0.60818307846842934</v>
      </c>
      <c r="D14" s="23">
        <f>PET!J49</f>
        <v>0.46714256509158608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9D31-FCCD-4D0A-AEB2-F983CADB57CF}">
  <sheetPr>
    <tabColor rgb="FFFFC000"/>
  </sheetPr>
  <dimension ref="A2:Q65"/>
  <sheetViews>
    <sheetView tabSelected="1" topLeftCell="A43" zoomScale="70" zoomScaleNormal="70" workbookViewId="0">
      <selection activeCell="J59" sqref="J59"/>
    </sheetView>
  </sheetViews>
  <sheetFormatPr baseColWidth="10" defaultColWidth="8.81640625" defaultRowHeight="12.5" x14ac:dyDescent="0.25"/>
  <cols>
    <col min="1" max="1" width="10.453125" customWidth="1"/>
    <col min="2" max="2" width="15.453125" customWidth="1"/>
    <col min="3" max="4" width="21.81640625" customWidth="1"/>
    <col min="5" max="5" width="21.81640625" style="48" customWidth="1"/>
    <col min="6" max="7" width="21.81640625" customWidth="1"/>
    <col min="8" max="8" width="21.81640625" style="48" customWidth="1"/>
    <col min="9" max="9" width="21.81640625" customWidth="1"/>
    <col min="10" max="10" width="21.81640625" style="48" customWidth="1"/>
    <col min="11" max="12" width="21.81640625" customWidth="1"/>
    <col min="13" max="13" width="36.36328125" customWidth="1"/>
    <col min="14" max="14" width="10.453125" customWidth="1"/>
    <col min="15" max="15" width="11.453125" customWidth="1"/>
    <col min="16" max="16" width="21.81640625" customWidth="1"/>
    <col min="17" max="17" width="21.81640625" style="48" customWidth="1"/>
    <col min="18" max="18" width="33.81640625" customWidth="1"/>
    <col min="19" max="19" width="27.1796875" customWidth="1"/>
    <col min="20" max="20" width="24.81640625" customWidth="1"/>
  </cols>
  <sheetData>
    <row r="2" spans="1:17" x14ac:dyDescent="0.25">
      <c r="B2" s="1" t="s">
        <v>14</v>
      </c>
      <c r="C2" s="128" t="s">
        <v>5</v>
      </c>
      <c r="D2" s="155"/>
      <c r="E2" s="109"/>
      <c r="F2" s="88"/>
      <c r="G2" s="88"/>
      <c r="H2" s="120"/>
      <c r="I2" s="87"/>
      <c r="K2" s="87"/>
      <c r="L2" s="87"/>
    </row>
    <row r="3" spans="1:17" x14ac:dyDescent="0.25">
      <c r="B3" s="31"/>
      <c r="C3" s="130" t="s">
        <v>15</v>
      </c>
      <c r="D3" s="134"/>
      <c r="E3" s="109"/>
      <c r="F3" s="88"/>
      <c r="G3" s="88"/>
    </row>
    <row r="4" spans="1:17" x14ac:dyDescent="0.25">
      <c r="B4" s="21"/>
      <c r="C4" s="129" t="s">
        <v>16</v>
      </c>
      <c r="D4" s="154"/>
      <c r="E4" s="109"/>
      <c r="F4" s="88"/>
      <c r="G4" s="88"/>
    </row>
    <row r="5" spans="1:17" x14ac:dyDescent="0.25">
      <c r="B5" s="33"/>
      <c r="C5" s="129" t="s">
        <v>17</v>
      </c>
      <c r="D5" s="154"/>
      <c r="E5" s="109"/>
      <c r="F5" s="88"/>
      <c r="G5" s="88"/>
    </row>
    <row r="6" spans="1:17" x14ac:dyDescent="0.25">
      <c r="B6" s="38"/>
      <c r="C6" s="129" t="s">
        <v>18</v>
      </c>
      <c r="D6" s="154"/>
      <c r="E6" s="109"/>
      <c r="F6" s="88"/>
      <c r="G6" s="88"/>
    </row>
    <row r="7" spans="1:17" x14ac:dyDescent="0.25">
      <c r="B7" s="41"/>
      <c r="C7" s="129" t="s">
        <v>19</v>
      </c>
      <c r="D7" s="154"/>
      <c r="E7" s="109"/>
      <c r="F7" s="88"/>
      <c r="G7" s="88"/>
    </row>
    <row r="9" spans="1:17" ht="24.5" x14ac:dyDescent="0.25">
      <c r="D9" s="126" t="s">
        <v>6</v>
      </c>
      <c r="E9" s="156"/>
      <c r="F9" s="156"/>
      <c r="G9" s="156"/>
      <c r="H9" s="156"/>
      <c r="J9"/>
      <c r="L9" s="48"/>
      <c r="Q9"/>
    </row>
    <row r="10" spans="1:17" ht="67" customHeight="1" x14ac:dyDescent="0.25">
      <c r="B10" s="2" t="s">
        <v>51</v>
      </c>
      <c r="C10" s="2" t="s">
        <v>267</v>
      </c>
      <c r="D10" s="86" t="s">
        <v>268</v>
      </c>
      <c r="E10" s="2" t="s">
        <v>269</v>
      </c>
      <c r="F10" s="2" t="s">
        <v>270</v>
      </c>
      <c r="G10" s="86" t="s">
        <v>271</v>
      </c>
      <c r="H10" s="2" t="s">
        <v>272</v>
      </c>
      <c r="J10"/>
      <c r="Q10"/>
    </row>
    <row r="11" spans="1:17" ht="25" x14ac:dyDescent="0.25">
      <c r="B11" s="17" t="s">
        <v>279</v>
      </c>
      <c r="C11" s="17" t="s">
        <v>280</v>
      </c>
      <c r="D11" s="116" t="s">
        <v>281</v>
      </c>
      <c r="E11" s="79" t="s">
        <v>282</v>
      </c>
      <c r="F11" s="79" t="s">
        <v>282</v>
      </c>
      <c r="G11" s="113">
        <v>0.58658126925309151</v>
      </c>
      <c r="H11" s="64">
        <v>0.58658126925309151</v>
      </c>
      <c r="J11"/>
      <c r="Q11"/>
    </row>
    <row r="12" spans="1:17" ht="150" x14ac:dyDescent="0.25">
      <c r="B12" s="17" t="s">
        <v>286</v>
      </c>
      <c r="C12" s="17" t="s">
        <v>142</v>
      </c>
      <c r="D12" s="54">
        <v>0.79</v>
      </c>
      <c r="E12" s="79" t="s">
        <v>287</v>
      </c>
      <c r="F12" s="79" t="s">
        <v>281</v>
      </c>
      <c r="G12" s="54">
        <v>0.91</v>
      </c>
      <c r="H12" s="54">
        <v>0.79</v>
      </c>
      <c r="J12"/>
      <c r="Q12"/>
    </row>
    <row r="13" spans="1:17" ht="262.5" x14ac:dyDescent="0.25">
      <c r="B13" s="17" t="s">
        <v>161</v>
      </c>
      <c r="C13" s="17" t="s">
        <v>150</v>
      </c>
      <c r="D13" s="54">
        <v>0.74</v>
      </c>
      <c r="E13" s="104" t="s">
        <v>288</v>
      </c>
      <c r="F13" s="79" t="s">
        <v>281</v>
      </c>
      <c r="G13" s="54">
        <v>0.78</v>
      </c>
      <c r="H13" s="54">
        <v>0.74</v>
      </c>
      <c r="J13"/>
      <c r="Q13"/>
    </row>
    <row r="14" spans="1:17" ht="75" x14ac:dyDescent="0.25">
      <c r="A14" s="5"/>
      <c r="B14" s="17" t="s">
        <v>60</v>
      </c>
      <c r="C14" s="17" t="s">
        <v>142</v>
      </c>
      <c r="D14" s="54">
        <v>0.97299999999999998</v>
      </c>
      <c r="E14" s="79" t="s">
        <v>289</v>
      </c>
      <c r="F14" s="79" t="s">
        <v>281</v>
      </c>
      <c r="G14" s="121">
        <v>0.97299999999999998</v>
      </c>
      <c r="H14" s="54">
        <v>0.97299999999999998</v>
      </c>
      <c r="J14"/>
      <c r="Q14"/>
    </row>
    <row r="15" spans="1:17" ht="125" x14ac:dyDescent="0.25">
      <c r="B15" s="17" t="s">
        <v>291</v>
      </c>
      <c r="C15" s="17" t="s">
        <v>150</v>
      </c>
      <c r="D15" s="54">
        <v>0.9</v>
      </c>
      <c r="E15" s="99" t="s">
        <v>292</v>
      </c>
      <c r="F15" s="79" t="s">
        <v>281</v>
      </c>
      <c r="G15" s="121">
        <v>0.90000000000000013</v>
      </c>
      <c r="H15" s="54">
        <v>0.9</v>
      </c>
      <c r="J15"/>
      <c r="Q15"/>
    </row>
    <row r="16" spans="1:17" ht="212.5" x14ac:dyDescent="0.25">
      <c r="B16" s="17" t="s">
        <v>137</v>
      </c>
      <c r="C16" s="17" t="s">
        <v>133</v>
      </c>
      <c r="D16" s="54">
        <v>0.73</v>
      </c>
      <c r="E16" s="90" t="s">
        <v>293</v>
      </c>
      <c r="F16" s="122" t="s">
        <v>281</v>
      </c>
      <c r="G16" s="121">
        <v>0.73162159660855997</v>
      </c>
      <c r="H16" s="54">
        <v>0.73</v>
      </c>
      <c r="J16"/>
      <c r="Q16"/>
    </row>
    <row r="17" spans="1:17" ht="150" x14ac:dyDescent="0.25">
      <c r="B17" s="17" t="s">
        <v>141</v>
      </c>
      <c r="C17" s="17" t="s">
        <v>142</v>
      </c>
      <c r="D17" s="54">
        <v>0.26800000000000002</v>
      </c>
      <c r="E17" s="79" t="s">
        <v>295</v>
      </c>
      <c r="F17" s="79" t="s">
        <v>296</v>
      </c>
      <c r="G17" s="112">
        <v>0.26800000000000002</v>
      </c>
      <c r="H17" s="64">
        <v>0.26800000000000002</v>
      </c>
      <c r="J17"/>
      <c r="Q17"/>
    </row>
    <row r="18" spans="1:17" ht="112.5" x14ac:dyDescent="0.25">
      <c r="A18" s="5"/>
      <c r="B18" s="17" t="s">
        <v>45</v>
      </c>
      <c r="C18" s="17" t="s">
        <v>150</v>
      </c>
      <c r="D18" s="54">
        <v>0.98</v>
      </c>
      <c r="E18" s="79" t="s">
        <v>299</v>
      </c>
      <c r="F18" s="79" t="s">
        <v>296</v>
      </c>
      <c r="G18" s="54">
        <v>0.98</v>
      </c>
      <c r="H18" s="64">
        <v>0.98</v>
      </c>
      <c r="J18"/>
      <c r="Q18"/>
    </row>
    <row r="19" spans="1:17" ht="25" x14ac:dyDescent="0.25">
      <c r="B19" s="17" t="s">
        <v>300</v>
      </c>
      <c r="C19" s="17" t="s">
        <v>142</v>
      </c>
      <c r="D19" s="116" t="s">
        <v>281</v>
      </c>
      <c r="E19" s="79" t="s">
        <v>282</v>
      </c>
      <c r="F19" s="79" t="s">
        <v>282</v>
      </c>
      <c r="G19" s="113">
        <v>0.94639817809369797</v>
      </c>
      <c r="H19" s="64">
        <v>0.94639817809369786</v>
      </c>
      <c r="J19"/>
      <c r="Q19"/>
    </row>
    <row r="20" spans="1:17" ht="75" x14ac:dyDescent="0.25">
      <c r="B20" s="17" t="s">
        <v>301</v>
      </c>
      <c r="C20" s="17" t="s">
        <v>280</v>
      </c>
      <c r="D20" s="54">
        <v>0.75</v>
      </c>
      <c r="E20" s="79" t="s">
        <v>302</v>
      </c>
      <c r="F20" s="3" t="s">
        <v>281</v>
      </c>
      <c r="G20" s="121">
        <v>0.75</v>
      </c>
      <c r="H20" s="54">
        <v>0.75</v>
      </c>
      <c r="J20"/>
      <c r="Q20"/>
    </row>
    <row r="21" spans="1:17" x14ac:dyDescent="0.25">
      <c r="B21" s="17" t="s">
        <v>303</v>
      </c>
      <c r="C21" s="17" t="s">
        <v>304</v>
      </c>
      <c r="D21" s="116" t="s">
        <v>281</v>
      </c>
      <c r="E21" s="79" t="s">
        <v>282</v>
      </c>
      <c r="F21" s="79" t="s">
        <v>282</v>
      </c>
      <c r="G21" s="113">
        <v>0.72</v>
      </c>
      <c r="H21" s="64">
        <v>0.72</v>
      </c>
      <c r="J21"/>
      <c r="Q21"/>
    </row>
    <row r="22" spans="1:17" ht="87.5" x14ac:dyDescent="0.25">
      <c r="A22" s="5"/>
      <c r="B22" s="17" t="s">
        <v>44</v>
      </c>
      <c r="C22" s="17" t="s">
        <v>129</v>
      </c>
      <c r="D22" s="54">
        <v>0.745</v>
      </c>
      <c r="E22" s="89" t="s">
        <v>305</v>
      </c>
      <c r="F22" s="3" t="s">
        <v>281</v>
      </c>
      <c r="G22" s="121">
        <v>0.74749643862243154</v>
      </c>
      <c r="H22" s="54">
        <v>0.745</v>
      </c>
      <c r="J22"/>
      <c r="Q22"/>
    </row>
    <row r="23" spans="1:17" ht="100" x14ac:dyDescent="0.25">
      <c r="B23" s="17" t="s">
        <v>144</v>
      </c>
      <c r="C23" s="17" t="s">
        <v>145</v>
      </c>
      <c r="D23" s="54">
        <v>0.85</v>
      </c>
      <c r="E23" s="99" t="s">
        <v>306</v>
      </c>
      <c r="F23" s="79" t="s">
        <v>296</v>
      </c>
      <c r="G23" s="54">
        <v>0.85</v>
      </c>
      <c r="H23" s="64">
        <v>0.83902443881488176</v>
      </c>
      <c r="J23"/>
      <c r="Q23"/>
    </row>
    <row r="24" spans="1:17" x14ac:dyDescent="0.25">
      <c r="B24" s="17" t="s">
        <v>307</v>
      </c>
      <c r="C24" s="17" t="s">
        <v>150</v>
      </c>
      <c r="D24" s="116" t="s">
        <v>281</v>
      </c>
      <c r="E24" s="79" t="s">
        <v>282</v>
      </c>
      <c r="F24" s="79" t="s">
        <v>282</v>
      </c>
      <c r="G24" s="114">
        <v>0.95020979910525538</v>
      </c>
      <c r="H24" s="64">
        <v>0.95020979910525538</v>
      </c>
      <c r="J24"/>
      <c r="Q24"/>
    </row>
    <row r="25" spans="1:17" ht="25" x14ac:dyDescent="0.25">
      <c r="B25" s="17" t="s">
        <v>308</v>
      </c>
      <c r="C25" s="17" t="s">
        <v>280</v>
      </c>
      <c r="D25" s="116" t="s">
        <v>281</v>
      </c>
      <c r="E25" s="79" t="s">
        <v>282</v>
      </c>
      <c r="F25" s="79" t="s">
        <v>282</v>
      </c>
      <c r="G25" s="113">
        <v>0.58658126925309151</v>
      </c>
      <c r="H25" s="64">
        <v>0.58658126925309151</v>
      </c>
      <c r="J25"/>
      <c r="Q25"/>
    </row>
    <row r="26" spans="1:17" ht="25" x14ac:dyDescent="0.25">
      <c r="B26" s="17" t="s">
        <v>311</v>
      </c>
      <c r="C26" s="17" t="s">
        <v>280</v>
      </c>
      <c r="D26" s="116" t="s">
        <v>281</v>
      </c>
      <c r="E26" s="79" t="s">
        <v>282</v>
      </c>
      <c r="F26" s="79" t="s">
        <v>282</v>
      </c>
      <c r="G26" s="114">
        <v>0.58658126925309151</v>
      </c>
      <c r="H26" s="64">
        <v>0.58658126925309151</v>
      </c>
      <c r="J26"/>
      <c r="Q26"/>
    </row>
    <row r="27" spans="1:17" ht="100" x14ac:dyDescent="0.25">
      <c r="B27" s="17" t="s">
        <v>313</v>
      </c>
      <c r="C27" s="17" t="s">
        <v>280</v>
      </c>
      <c r="D27" s="54">
        <v>0.68</v>
      </c>
      <c r="E27" s="79" t="s">
        <v>314</v>
      </c>
      <c r="F27" s="79" t="s">
        <v>296</v>
      </c>
      <c r="G27" s="112">
        <v>0.68</v>
      </c>
      <c r="H27" s="64">
        <v>0.68</v>
      </c>
      <c r="J27"/>
      <c r="Q27"/>
    </row>
    <row r="28" spans="1:17" ht="100" x14ac:dyDescent="0.25">
      <c r="A28" s="5"/>
      <c r="B28" s="17" t="s">
        <v>65</v>
      </c>
      <c r="C28" s="17" t="s">
        <v>150</v>
      </c>
      <c r="D28" s="54">
        <v>0.998</v>
      </c>
      <c r="E28" s="79" t="s">
        <v>317</v>
      </c>
      <c r="F28" s="79" t="s">
        <v>296</v>
      </c>
      <c r="G28" s="112">
        <v>0.998</v>
      </c>
      <c r="H28" s="64">
        <v>0.99800000000000011</v>
      </c>
      <c r="J28"/>
      <c r="Q28"/>
    </row>
    <row r="29" spans="1:17" ht="25" x14ac:dyDescent="0.25">
      <c r="B29" s="17" t="s">
        <v>318</v>
      </c>
      <c r="C29" s="17" t="s">
        <v>129</v>
      </c>
      <c r="D29" s="116" t="s">
        <v>281</v>
      </c>
      <c r="E29" s="79" t="s">
        <v>282</v>
      </c>
      <c r="F29" s="79" t="s">
        <v>282</v>
      </c>
      <c r="G29" s="113">
        <v>0.72767252151900219</v>
      </c>
      <c r="H29" s="64">
        <v>0.70082675922434312</v>
      </c>
      <c r="J29"/>
      <c r="Q29"/>
    </row>
    <row r="30" spans="1:17" x14ac:dyDescent="0.25">
      <c r="B30" s="17" t="s">
        <v>321</v>
      </c>
      <c r="C30" s="17" t="s">
        <v>150</v>
      </c>
      <c r="D30" s="116" t="s">
        <v>281</v>
      </c>
      <c r="E30" s="79" t="s">
        <v>282</v>
      </c>
      <c r="F30" s="79" t="s">
        <v>282</v>
      </c>
      <c r="G30" s="113">
        <v>0.95020979910525538</v>
      </c>
      <c r="H30" s="64">
        <v>0.95020979910525549</v>
      </c>
      <c r="J30"/>
      <c r="Q30"/>
    </row>
    <row r="31" spans="1:17" ht="125" x14ac:dyDescent="0.25">
      <c r="B31" s="17" t="s">
        <v>242</v>
      </c>
      <c r="C31" s="17" t="s">
        <v>142</v>
      </c>
      <c r="D31" s="54">
        <v>0.96599999999999997</v>
      </c>
      <c r="E31" s="79" t="s">
        <v>323</v>
      </c>
      <c r="F31" s="79" t="s">
        <v>296</v>
      </c>
      <c r="G31" s="54">
        <v>0.96599999999999997</v>
      </c>
      <c r="H31" s="64">
        <v>0.95662150189754591</v>
      </c>
      <c r="J31"/>
      <c r="Q31"/>
    </row>
    <row r="32" spans="1:17" x14ac:dyDescent="0.25">
      <c r="B32" s="17" t="s">
        <v>324</v>
      </c>
      <c r="C32" s="17" t="s">
        <v>304</v>
      </c>
      <c r="D32" s="116" t="s">
        <v>281</v>
      </c>
      <c r="E32" s="79" t="s">
        <v>282</v>
      </c>
      <c r="F32" s="79" t="s">
        <v>282</v>
      </c>
      <c r="G32" s="114">
        <v>0.72</v>
      </c>
      <c r="H32" s="64">
        <v>0.72</v>
      </c>
      <c r="J32"/>
      <c r="Q32"/>
    </row>
    <row r="33" spans="1:17" x14ac:dyDescent="0.25">
      <c r="B33" s="17" t="s">
        <v>154</v>
      </c>
      <c r="C33" s="17" t="s">
        <v>145</v>
      </c>
      <c r="D33" s="116" t="s">
        <v>281</v>
      </c>
      <c r="E33" s="79" t="s">
        <v>282</v>
      </c>
      <c r="F33" s="79" t="s">
        <v>282</v>
      </c>
      <c r="G33" s="114">
        <v>0.85</v>
      </c>
      <c r="H33" s="64">
        <v>0.85</v>
      </c>
      <c r="J33"/>
      <c r="Q33"/>
    </row>
    <row r="34" spans="1:17" ht="25" x14ac:dyDescent="0.25">
      <c r="B34" s="17" t="s">
        <v>325</v>
      </c>
      <c r="C34" s="17" t="s">
        <v>142</v>
      </c>
      <c r="D34" s="116" t="s">
        <v>281</v>
      </c>
      <c r="E34" s="79" t="s">
        <v>282</v>
      </c>
      <c r="F34" s="79" t="s">
        <v>282</v>
      </c>
      <c r="G34" s="114">
        <v>0.94639817809369797</v>
      </c>
      <c r="H34" s="64">
        <v>0.94639817809369808</v>
      </c>
      <c r="J34"/>
      <c r="Q34"/>
    </row>
    <row r="35" spans="1:17" x14ac:dyDescent="0.25">
      <c r="B35" s="17" t="s">
        <v>326</v>
      </c>
      <c r="C35" s="17" t="s">
        <v>150</v>
      </c>
      <c r="D35" s="116" t="s">
        <v>281</v>
      </c>
      <c r="E35" s="79" t="s">
        <v>282</v>
      </c>
      <c r="F35" s="79" t="s">
        <v>282</v>
      </c>
      <c r="G35" s="114">
        <v>0.95020979910525538</v>
      </c>
      <c r="H35" s="64">
        <v>0.95020979910525538</v>
      </c>
      <c r="J35"/>
      <c r="Q35"/>
    </row>
    <row r="36" spans="1:17" ht="25" x14ac:dyDescent="0.25">
      <c r="B36" s="17" t="s">
        <v>327</v>
      </c>
      <c r="C36" s="17" t="s">
        <v>129</v>
      </c>
      <c r="D36" s="116" t="s">
        <v>281</v>
      </c>
      <c r="E36" s="79" t="s">
        <v>282</v>
      </c>
      <c r="F36" s="79" t="s">
        <v>282</v>
      </c>
      <c r="G36" s="114">
        <v>0.72767252151900219</v>
      </c>
      <c r="H36" s="64">
        <v>0.70082675922434312</v>
      </c>
      <c r="J36"/>
      <c r="Q36"/>
    </row>
    <row r="37" spans="1:17" ht="100" x14ac:dyDescent="0.25">
      <c r="B37" s="17" t="s">
        <v>329</v>
      </c>
      <c r="C37" s="17" t="s">
        <v>280</v>
      </c>
      <c r="D37" s="54">
        <v>0.51</v>
      </c>
      <c r="E37" s="79" t="s">
        <v>330</v>
      </c>
      <c r="F37" s="79" t="s">
        <v>296</v>
      </c>
      <c r="G37" s="54">
        <v>0.51</v>
      </c>
      <c r="H37" s="64">
        <v>0.51</v>
      </c>
      <c r="J37"/>
      <c r="Q37"/>
    </row>
    <row r="38" spans="1:17" ht="327" customHeight="1" x14ac:dyDescent="0.25">
      <c r="B38" s="17" t="s">
        <v>72</v>
      </c>
      <c r="C38" s="17" t="s">
        <v>304</v>
      </c>
      <c r="D38" s="79" t="s">
        <v>332</v>
      </c>
      <c r="E38" s="79" t="s">
        <v>333</v>
      </c>
      <c r="F38" s="79" t="s">
        <v>281</v>
      </c>
      <c r="G38" s="54">
        <v>0.72</v>
      </c>
      <c r="H38" s="54">
        <v>0.60606060606060608</v>
      </c>
      <c r="J38"/>
      <c r="Q38"/>
    </row>
    <row r="39" spans="1:17" ht="100" x14ac:dyDescent="0.25">
      <c r="B39" s="17" t="s">
        <v>334</v>
      </c>
      <c r="C39" s="17" t="s">
        <v>150</v>
      </c>
      <c r="D39" s="54">
        <v>0.78</v>
      </c>
      <c r="E39" s="79" t="s">
        <v>335</v>
      </c>
      <c r="F39" s="79" t="s">
        <v>296</v>
      </c>
      <c r="G39" s="54">
        <v>0.78</v>
      </c>
      <c r="H39" s="64">
        <v>0.78</v>
      </c>
      <c r="J39"/>
      <c r="Q39"/>
    </row>
    <row r="40" spans="1:17" ht="100" x14ac:dyDescent="0.25">
      <c r="B40" s="17" t="s">
        <v>337</v>
      </c>
      <c r="C40" s="17" t="s">
        <v>150</v>
      </c>
      <c r="D40" s="54">
        <v>0.84</v>
      </c>
      <c r="E40" s="79" t="s">
        <v>338</v>
      </c>
      <c r="F40" s="79" t="s">
        <v>296</v>
      </c>
      <c r="G40" s="54">
        <v>0.84</v>
      </c>
      <c r="H40" s="64">
        <v>0.80901018018319548</v>
      </c>
      <c r="J40"/>
      <c r="Q40"/>
    </row>
    <row r="41" spans="1:17" ht="125" x14ac:dyDescent="0.25">
      <c r="B41" s="17" t="s">
        <v>339</v>
      </c>
      <c r="C41" s="17" t="s">
        <v>150</v>
      </c>
      <c r="D41" s="54">
        <v>0.86</v>
      </c>
      <c r="E41" s="99" t="s">
        <v>292</v>
      </c>
      <c r="F41" s="79" t="s">
        <v>281</v>
      </c>
      <c r="G41" s="121">
        <v>0.86</v>
      </c>
      <c r="H41" s="54">
        <v>0.86</v>
      </c>
      <c r="J41"/>
      <c r="Q41"/>
    </row>
    <row r="42" spans="1:17" ht="136.5" customHeight="1" x14ac:dyDescent="0.25">
      <c r="B42" s="17" t="s">
        <v>341</v>
      </c>
      <c r="C42" s="17" t="s">
        <v>129</v>
      </c>
      <c r="D42" s="79" t="s">
        <v>342</v>
      </c>
      <c r="E42" s="89" t="s">
        <v>343</v>
      </c>
      <c r="F42" s="79" t="s">
        <v>296</v>
      </c>
      <c r="G42" s="54">
        <v>0.13824632296286149</v>
      </c>
      <c r="H42" s="64">
        <v>0.13314605077362954</v>
      </c>
      <c r="J42"/>
      <c r="Q42"/>
    </row>
    <row r="43" spans="1:17" ht="125" x14ac:dyDescent="0.25">
      <c r="B43" s="17" t="s">
        <v>345</v>
      </c>
      <c r="C43" s="17" t="s">
        <v>280</v>
      </c>
      <c r="D43" s="54">
        <v>0.33</v>
      </c>
      <c r="E43" s="99" t="s">
        <v>292</v>
      </c>
      <c r="F43" s="79" t="s">
        <v>281</v>
      </c>
      <c r="G43" s="121">
        <v>0.33</v>
      </c>
      <c r="H43" s="54">
        <v>0.33</v>
      </c>
      <c r="J43"/>
      <c r="Q43"/>
    </row>
    <row r="44" spans="1:17" ht="125" x14ac:dyDescent="0.25">
      <c r="A44" s="5"/>
      <c r="B44" s="17" t="s">
        <v>346</v>
      </c>
      <c r="C44" s="17" t="s">
        <v>133</v>
      </c>
      <c r="D44" s="54">
        <v>0.43</v>
      </c>
      <c r="E44" s="79" t="s">
        <v>347</v>
      </c>
      <c r="F44" s="79" t="s">
        <v>281</v>
      </c>
      <c r="G44" s="121">
        <v>0.44243239554530023</v>
      </c>
      <c r="H44" s="54">
        <v>0.43</v>
      </c>
      <c r="J44"/>
      <c r="Q44"/>
    </row>
    <row r="45" spans="1:17" ht="125" x14ac:dyDescent="0.25">
      <c r="B45" s="17" t="s">
        <v>348</v>
      </c>
      <c r="C45" s="17" t="s">
        <v>150</v>
      </c>
      <c r="D45" s="54">
        <v>0.77</v>
      </c>
      <c r="E45" s="98" t="s">
        <v>349</v>
      </c>
      <c r="F45" s="98" t="s">
        <v>281</v>
      </c>
      <c r="G45" s="54">
        <v>0.8</v>
      </c>
      <c r="H45" s="54">
        <v>0.77</v>
      </c>
      <c r="J45"/>
      <c r="Q45"/>
    </row>
    <row r="47" spans="1:17" x14ac:dyDescent="0.25">
      <c r="B47" s="2" t="s">
        <v>350</v>
      </c>
    </row>
    <row r="48" spans="1:17" ht="48.75" customHeight="1" thickBot="1" x14ac:dyDescent="0.3">
      <c r="B48" s="132" t="s">
        <v>813</v>
      </c>
      <c r="C48" s="132"/>
      <c r="D48" s="29">
        <v>5050602.1268100003</v>
      </c>
      <c r="E48" s="111" t="s">
        <v>351</v>
      </c>
      <c r="F48" s="47" t="s">
        <v>351</v>
      </c>
      <c r="G48" s="47"/>
      <c r="H48" s="51">
        <v>0.75562047295992063</v>
      </c>
      <c r="I48" s="29">
        <v>3816338.3677925533</v>
      </c>
      <c r="J48" s="51">
        <v>0.74777331135193437</v>
      </c>
      <c r="K48" s="29">
        <v>3776705.4766858364</v>
      </c>
      <c r="L48" s="3" t="s">
        <v>351</v>
      </c>
      <c r="M48" s="3" t="s">
        <v>351</v>
      </c>
      <c r="O48" s="131" t="s">
        <v>352</v>
      </c>
      <c r="P48" s="153"/>
      <c r="Q48" s="61">
        <v>1.03850569019752E-2</v>
      </c>
    </row>
    <row r="49" spans="2:13" ht="48.75" customHeight="1" thickTop="1" thickBot="1" x14ac:dyDescent="0.3">
      <c r="B49" s="132" t="s">
        <v>814</v>
      </c>
      <c r="C49" s="132"/>
      <c r="D49" s="29">
        <v>5336747.0670599993</v>
      </c>
      <c r="E49" s="111" t="s">
        <v>351</v>
      </c>
      <c r="F49" s="47" t="s">
        <v>351</v>
      </c>
      <c r="G49" s="47"/>
      <c r="H49" s="51">
        <v>0.75479346012924642</v>
      </c>
      <c r="I49" s="29">
        <v>4028141.7845808244</v>
      </c>
      <c r="J49" s="51">
        <v>0.74668073427658943</v>
      </c>
      <c r="K49" s="29">
        <v>3984846.2186807953</v>
      </c>
      <c r="L49" s="3" t="s">
        <v>351</v>
      </c>
      <c r="M49" s="3" t="s">
        <v>351</v>
      </c>
    </row>
    <row r="50" spans="2:13" ht="48.75" customHeight="1" thickTop="1" thickBot="1" x14ac:dyDescent="0.3">
      <c r="B50" s="133" t="s">
        <v>815</v>
      </c>
      <c r="C50" s="133"/>
      <c r="D50" s="29">
        <v>5595172.172310004</v>
      </c>
      <c r="E50" s="111" t="s">
        <v>351</v>
      </c>
      <c r="F50" s="47" t="s">
        <v>351</v>
      </c>
      <c r="G50" s="47"/>
      <c r="H50" s="51" t="s">
        <v>351</v>
      </c>
      <c r="I50" s="29" t="s">
        <v>351</v>
      </c>
      <c r="J50" s="51" t="s">
        <v>351</v>
      </c>
      <c r="K50" s="29" t="s">
        <v>351</v>
      </c>
      <c r="L50" s="3" t="s">
        <v>351</v>
      </c>
      <c r="M50" s="3" t="s">
        <v>351</v>
      </c>
    </row>
    <row r="51" spans="2:13" ht="48.75" customHeight="1" thickTop="1" thickBot="1" x14ac:dyDescent="0.3">
      <c r="B51" s="132" t="s">
        <v>811</v>
      </c>
      <c r="C51" s="132"/>
      <c r="D51" s="30">
        <v>0.90267144089058937</v>
      </c>
      <c r="E51" s="111" t="s">
        <v>351</v>
      </c>
      <c r="F51" s="47" t="s">
        <v>351</v>
      </c>
      <c r="G51" s="47"/>
      <c r="H51" s="51" t="s">
        <v>351</v>
      </c>
      <c r="I51" s="29" t="s">
        <v>351</v>
      </c>
      <c r="J51" s="51" t="s">
        <v>351</v>
      </c>
      <c r="K51" s="29" t="s">
        <v>351</v>
      </c>
      <c r="L51" s="3" t="s">
        <v>351</v>
      </c>
      <c r="M51" s="3" t="s">
        <v>351</v>
      </c>
    </row>
    <row r="52" spans="2:13" ht="48.75" customHeight="1" thickTop="1" thickBot="1" x14ac:dyDescent="0.3">
      <c r="B52" s="132" t="s">
        <v>812</v>
      </c>
      <c r="C52" s="132"/>
      <c r="D52" s="30">
        <v>0.9538128412689556</v>
      </c>
      <c r="E52" s="111" t="s">
        <v>351</v>
      </c>
      <c r="F52" s="47" t="s">
        <v>351</v>
      </c>
      <c r="G52" s="47"/>
      <c r="H52" s="51" t="s">
        <v>351</v>
      </c>
      <c r="I52" s="29" t="s">
        <v>351</v>
      </c>
      <c r="J52" s="51" t="s">
        <v>351</v>
      </c>
      <c r="K52" s="29" t="s">
        <v>351</v>
      </c>
      <c r="L52" s="3" t="s">
        <v>351</v>
      </c>
      <c r="M52" s="3" t="s">
        <v>351</v>
      </c>
    </row>
    <row r="53" spans="2:13" ht="13" thickTop="1" x14ac:dyDescent="0.25"/>
    <row r="54" spans="2:13" x14ac:dyDescent="0.25">
      <c r="D54" s="5"/>
      <c r="F54" s="5"/>
      <c r="G54" s="5"/>
    </row>
    <row r="55" spans="2:13" x14ac:dyDescent="0.25">
      <c r="D55" s="36"/>
      <c r="F55" s="36"/>
      <c r="G55" s="36"/>
    </row>
    <row r="58" spans="2:13" ht="50" x14ac:dyDescent="0.25">
      <c r="B58" s="2" t="s">
        <v>353</v>
      </c>
      <c r="C58" s="2" t="s">
        <v>354</v>
      </c>
      <c r="D58" s="2" t="s">
        <v>355</v>
      </c>
      <c r="E58" s="86" t="s">
        <v>356</v>
      </c>
      <c r="F58" s="2" t="s">
        <v>357</v>
      </c>
      <c r="G58" s="86" t="s">
        <v>358</v>
      </c>
    </row>
    <row r="59" spans="2:13" ht="37.5" x14ac:dyDescent="0.25">
      <c r="B59" s="17" t="s">
        <v>280</v>
      </c>
      <c r="C59" s="21">
        <v>4</v>
      </c>
      <c r="D59" s="3" t="s">
        <v>359</v>
      </c>
      <c r="E59" s="21">
        <v>123156.27674999999</v>
      </c>
      <c r="F59" s="21">
        <v>72241.165132499998</v>
      </c>
      <c r="G59" s="64">
        <v>0.58658126925309151</v>
      </c>
    </row>
    <row r="60" spans="2:13" ht="37.5" x14ac:dyDescent="0.25">
      <c r="B60" s="17" t="s">
        <v>142</v>
      </c>
      <c r="C60" s="21">
        <v>4</v>
      </c>
      <c r="D60" s="3" t="s">
        <v>360</v>
      </c>
      <c r="E60" s="21">
        <v>623271.51450000005</v>
      </c>
      <c r="F60" s="21">
        <v>589863.02578049991</v>
      </c>
      <c r="G60" s="64">
        <v>0.94639817809369797</v>
      </c>
    </row>
    <row r="61" spans="2:13" ht="25" x14ac:dyDescent="0.25">
      <c r="B61" s="17" t="s">
        <v>150</v>
      </c>
      <c r="C61" s="21">
        <v>8</v>
      </c>
      <c r="D61" s="3" t="s">
        <v>361</v>
      </c>
      <c r="E61" s="21">
        <v>1879605.4302500002</v>
      </c>
      <c r="F61" s="21">
        <v>1786019.4982749999</v>
      </c>
      <c r="G61" s="64">
        <v>0.95020979910525538</v>
      </c>
    </row>
    <row r="62" spans="2:13" ht="25" x14ac:dyDescent="0.25">
      <c r="B62" s="17" t="s">
        <v>133</v>
      </c>
      <c r="C62" s="21">
        <v>2</v>
      </c>
      <c r="D62" s="3" t="s">
        <v>362</v>
      </c>
      <c r="E62" s="21">
        <v>1517678.1553100001</v>
      </c>
      <c r="F62" s="21">
        <v>705300.75653195987</v>
      </c>
      <c r="G62" s="64">
        <v>0.46472353447552622</v>
      </c>
    </row>
    <row r="63" spans="2:13" ht="87.5" x14ac:dyDescent="0.25">
      <c r="B63" s="17" t="s">
        <v>304</v>
      </c>
      <c r="C63" s="21">
        <v>1</v>
      </c>
      <c r="D63" s="3" t="s">
        <v>363</v>
      </c>
      <c r="E63" s="21">
        <v>72655.05975</v>
      </c>
      <c r="F63" s="21">
        <v>52311.643019999996</v>
      </c>
      <c r="G63" s="64">
        <v>0.72</v>
      </c>
    </row>
    <row r="64" spans="2:13" ht="62.5" x14ac:dyDescent="0.25">
      <c r="B64" s="17" t="s">
        <v>145</v>
      </c>
      <c r="C64" s="21">
        <v>1</v>
      </c>
      <c r="D64" s="3" t="s">
        <v>364</v>
      </c>
      <c r="E64" s="21">
        <v>29035.919249999999</v>
      </c>
      <c r="F64" s="21">
        <v>24680.531362499998</v>
      </c>
      <c r="G64" s="64">
        <v>0.85</v>
      </c>
    </row>
    <row r="65" spans="2:7" ht="37.5" x14ac:dyDescent="0.25">
      <c r="B65" s="17" t="s">
        <v>129</v>
      </c>
      <c r="C65" s="21">
        <v>2</v>
      </c>
      <c r="D65" s="3" t="s">
        <v>360</v>
      </c>
      <c r="E65" s="21">
        <v>805199.77099999995</v>
      </c>
      <c r="F65" s="21">
        <v>585921.74769009312</v>
      </c>
      <c r="G65" s="64">
        <v>0.72767252151900219</v>
      </c>
    </row>
  </sheetData>
  <mergeCells count="13">
    <mergeCell ref="C2:D2"/>
    <mergeCell ref="D9:H9"/>
    <mergeCell ref="C3:D3"/>
    <mergeCell ref="C4:D4"/>
    <mergeCell ref="C5:D5"/>
    <mergeCell ref="C6:D6"/>
    <mergeCell ref="C7:D7"/>
    <mergeCell ref="O48:P48"/>
    <mergeCell ref="B52:C52"/>
    <mergeCell ref="B48:C48"/>
    <mergeCell ref="B49:C49"/>
    <mergeCell ref="B50:C50"/>
    <mergeCell ref="B51:C5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A196-E22B-43E5-8CAA-AD1976BD9E27}">
  <sheetPr>
    <tabColor rgb="FFFFC000"/>
  </sheetPr>
  <dimension ref="A2:V65"/>
  <sheetViews>
    <sheetView topLeftCell="A44" zoomScale="90" zoomScaleNormal="90" workbookViewId="0">
      <selection activeCell="B48" sqref="B48:C52"/>
    </sheetView>
  </sheetViews>
  <sheetFormatPr baseColWidth="10" defaultColWidth="8.81640625" defaultRowHeight="12.5" x14ac:dyDescent="0.25"/>
  <cols>
    <col min="2" max="2" width="15.453125" customWidth="1"/>
    <col min="3" max="4" width="21.81640625" customWidth="1"/>
    <col min="5" max="5" width="21.81640625" style="48" customWidth="1"/>
    <col min="6" max="6" width="24.1796875" customWidth="1"/>
    <col min="7" max="7" width="23.1796875" customWidth="1"/>
    <col min="8" max="8" width="21.81640625" style="48" customWidth="1"/>
    <col min="9" max="9" width="21.81640625" customWidth="1"/>
    <col min="10" max="10" width="21.81640625" style="48" customWidth="1"/>
    <col min="11" max="12" width="21.81640625" customWidth="1"/>
    <col min="13" max="13" width="32.1796875" customWidth="1"/>
    <col min="14" max="14" width="10.453125" customWidth="1"/>
    <col min="15" max="15" width="12.1796875" customWidth="1"/>
    <col min="16" max="16" width="21.81640625" customWidth="1"/>
    <col min="17" max="17" width="21.81640625" style="48" customWidth="1"/>
    <col min="18" max="18" width="25.453125" style="48" customWidth="1"/>
    <col min="19" max="19" width="26.453125" customWidth="1"/>
    <col min="20" max="20" width="27.1796875" customWidth="1"/>
  </cols>
  <sheetData>
    <row r="2" spans="2:22" x14ac:dyDescent="0.25">
      <c r="B2" s="1" t="s">
        <v>14</v>
      </c>
      <c r="C2" s="128" t="s">
        <v>5</v>
      </c>
      <c r="D2" s="149"/>
      <c r="E2" s="109"/>
      <c r="F2" s="88"/>
      <c r="G2" s="88"/>
    </row>
    <row r="3" spans="2:22" x14ac:dyDescent="0.25">
      <c r="B3" s="31"/>
      <c r="C3" s="130" t="s">
        <v>15</v>
      </c>
      <c r="D3" s="135"/>
      <c r="E3" s="109"/>
      <c r="F3" s="88"/>
      <c r="G3" s="88"/>
    </row>
    <row r="4" spans="2:22" x14ac:dyDescent="0.25">
      <c r="B4" s="21"/>
      <c r="C4" s="129" t="s">
        <v>16</v>
      </c>
      <c r="D4" s="150"/>
      <c r="E4" s="109"/>
      <c r="F4" s="88"/>
      <c r="G4" s="88"/>
    </row>
    <row r="5" spans="2:22" x14ac:dyDescent="0.25">
      <c r="B5" s="33"/>
      <c r="C5" s="129" t="s">
        <v>17</v>
      </c>
      <c r="D5" s="150"/>
      <c r="E5" s="109"/>
      <c r="F5" s="88"/>
      <c r="G5" s="88"/>
    </row>
    <row r="6" spans="2:22" x14ac:dyDescent="0.25">
      <c r="B6" s="38"/>
      <c r="C6" s="129" t="s">
        <v>18</v>
      </c>
      <c r="D6" s="150"/>
      <c r="E6" s="109"/>
      <c r="F6" s="88"/>
      <c r="G6" s="88"/>
    </row>
    <row r="7" spans="2:22" x14ac:dyDescent="0.25">
      <c r="B7" s="41"/>
      <c r="C7" s="129" t="s">
        <v>19</v>
      </c>
      <c r="D7" s="150"/>
      <c r="E7" s="109"/>
      <c r="F7" s="88"/>
      <c r="G7" s="88"/>
    </row>
    <row r="8" spans="2:22" x14ac:dyDescent="0.25">
      <c r="R8"/>
    </row>
    <row r="9" spans="2:22" ht="24.5" x14ac:dyDescent="0.25">
      <c r="D9" s="126" t="s">
        <v>8</v>
      </c>
      <c r="E9" s="127"/>
      <c r="F9" s="127"/>
      <c r="G9" s="127"/>
      <c r="H9" s="127"/>
      <c r="I9" s="127"/>
      <c r="J9" s="127"/>
      <c r="K9" s="127"/>
      <c r="L9" s="127"/>
      <c r="M9" s="127"/>
    </row>
    <row r="10" spans="2:22" ht="58" customHeight="1" x14ac:dyDescent="0.25">
      <c r="B10" s="2" t="s">
        <v>51</v>
      </c>
      <c r="C10" s="2" t="s">
        <v>267</v>
      </c>
      <c r="D10" s="2" t="s">
        <v>365</v>
      </c>
      <c r="E10" s="86" t="s">
        <v>268</v>
      </c>
      <c r="F10" s="2" t="s">
        <v>269</v>
      </c>
      <c r="G10" s="2" t="s">
        <v>270</v>
      </c>
      <c r="H10" s="86" t="s">
        <v>271</v>
      </c>
      <c r="I10" s="2" t="s">
        <v>272</v>
      </c>
      <c r="J10" s="86" t="s">
        <v>273</v>
      </c>
      <c r="K10" s="2" t="s">
        <v>274</v>
      </c>
      <c r="L10" s="2" t="s">
        <v>20</v>
      </c>
      <c r="M10" s="2" t="s">
        <v>275</v>
      </c>
      <c r="O10" s="22" t="s">
        <v>276</v>
      </c>
      <c r="P10" s="22" t="s">
        <v>277</v>
      </c>
      <c r="Q10" s="124" t="s">
        <v>278</v>
      </c>
      <c r="R10" s="22" t="s">
        <v>92</v>
      </c>
    </row>
    <row r="11" spans="2:22" ht="100" x14ac:dyDescent="0.25">
      <c r="B11" s="17" t="s">
        <v>279</v>
      </c>
      <c r="C11" s="17" t="s">
        <v>280</v>
      </c>
      <c r="D11" s="31">
        <v>466568.47</v>
      </c>
      <c r="E11" s="54">
        <f>Sources!J87</f>
        <v>0.31</v>
      </c>
      <c r="F11" s="104" t="s">
        <v>366</v>
      </c>
      <c r="G11" s="79" t="s">
        <v>296</v>
      </c>
      <c r="H11" s="112">
        <f>Sources!J87</f>
        <v>0.31</v>
      </c>
      <c r="I11" s="21">
        <f>D11*H11</f>
        <v>144636.22569999998</v>
      </c>
      <c r="J11" s="64">
        <f>K11/D11</f>
        <v>0.29831398177636237</v>
      </c>
      <c r="K11" s="38">
        <f>I11*(O11*(1-Assumptions!$C$39)+P11*(1-Assumptions!$D$39))</f>
        <v>139183.89805700525</v>
      </c>
      <c r="L11" s="3" t="s">
        <v>25</v>
      </c>
      <c r="M11" s="79" t="s">
        <v>367</v>
      </c>
      <c r="O11" s="23">
        <v>1</v>
      </c>
      <c r="P11" s="23">
        <f t="shared" ref="P11:P45" si="0">1-O11</f>
        <v>0</v>
      </c>
      <c r="Q11" s="61">
        <f t="shared" ref="Q11:Q45" si="1">(I11-K11)/I11</f>
        <v>3.769683297947625E-2</v>
      </c>
      <c r="R11" s="3" t="s">
        <v>368</v>
      </c>
    </row>
    <row r="12" spans="2:22" ht="50" x14ac:dyDescent="0.25">
      <c r="B12" s="17" t="s">
        <v>286</v>
      </c>
      <c r="C12" s="17" t="s">
        <v>142</v>
      </c>
      <c r="D12" s="31">
        <v>2235971.9700000002</v>
      </c>
      <c r="E12" s="23" t="s">
        <v>281</v>
      </c>
      <c r="F12" s="79" t="s">
        <v>282</v>
      </c>
      <c r="G12" s="79" t="s">
        <v>282</v>
      </c>
      <c r="H12" s="113">
        <f>G60</f>
        <v>0.26690172051211686</v>
      </c>
      <c r="I12" s="21">
        <f>D12*H12</f>
        <v>596784.76580986741</v>
      </c>
      <c r="J12" s="64">
        <f>K12/D12</f>
        <v>0.25684037093203677</v>
      </c>
      <c r="K12" s="38">
        <f>I12*(O12*(1-Assumptions!$C$39)+P12*(1-Assumptions!$D$39))</f>
        <v>574287.87016843702</v>
      </c>
      <c r="L12" s="3" t="s">
        <v>283</v>
      </c>
      <c r="M12" s="3" t="s">
        <v>369</v>
      </c>
      <c r="O12" s="23">
        <v>1</v>
      </c>
      <c r="P12" s="23">
        <f t="shared" si="0"/>
        <v>0</v>
      </c>
      <c r="Q12" s="61">
        <f t="shared" si="1"/>
        <v>3.7696832979476215E-2</v>
      </c>
      <c r="R12" s="3" t="s">
        <v>285</v>
      </c>
    </row>
    <row r="13" spans="2:22" ht="140.5" customHeight="1" x14ac:dyDescent="0.25">
      <c r="B13" s="17" t="s">
        <v>161</v>
      </c>
      <c r="C13" s="17" t="s">
        <v>150</v>
      </c>
      <c r="D13" s="31">
        <v>1783903.54</v>
      </c>
      <c r="E13" s="3" t="s">
        <v>370</v>
      </c>
      <c r="F13" s="3" t="s">
        <v>371</v>
      </c>
      <c r="G13" s="91" t="s">
        <v>281</v>
      </c>
      <c r="H13" s="64">
        <f>I13/D13</f>
        <v>0.74519506608781561</v>
      </c>
      <c r="I13" s="52">
        <f>K13/(O13*(1-Assumptions!$C$39)+P13*(1-Assumptions!$D$39))</f>
        <v>1329356.1163845882</v>
      </c>
      <c r="J13" s="54">
        <f>Sources!P17</f>
        <v>0.68868778280542986</v>
      </c>
      <c r="K13" s="21">
        <f>D13*J13</f>
        <v>1228552.5737013575</v>
      </c>
      <c r="L13" s="3" t="s">
        <v>30</v>
      </c>
      <c r="M13" s="3" t="s">
        <v>372</v>
      </c>
      <c r="O13" s="64">
        <f>Assumptions!I106</f>
        <v>0.78424657534246578</v>
      </c>
      <c r="P13" s="64">
        <f t="shared" si="0"/>
        <v>0.21575342465753422</v>
      </c>
      <c r="Q13" s="61">
        <f t="shared" si="1"/>
        <v>7.5828847846567418E-2</v>
      </c>
      <c r="R13" s="3" t="s">
        <v>373</v>
      </c>
      <c r="V13" s="5"/>
    </row>
    <row r="14" spans="2:22" ht="50" x14ac:dyDescent="0.25">
      <c r="B14" s="17" t="s">
        <v>60</v>
      </c>
      <c r="C14" s="17" t="s">
        <v>142</v>
      </c>
      <c r="D14" s="31">
        <v>8052910.3600000003</v>
      </c>
      <c r="E14" s="54">
        <f>Sources!P11</f>
        <v>0.25</v>
      </c>
      <c r="F14" s="91" t="s">
        <v>374</v>
      </c>
      <c r="G14" s="91" t="s">
        <v>281</v>
      </c>
      <c r="H14" s="64">
        <f>I14/D14</f>
        <v>0.25979338795490847</v>
      </c>
      <c r="I14" s="38">
        <f>K14/(O14*(1-Assumptions!$C$39)+P14*(1-Assumptions!$D$39))</f>
        <v>2092092.8653215817</v>
      </c>
      <c r="J14" s="54">
        <f>Sources!P11</f>
        <v>0.25</v>
      </c>
      <c r="K14" s="21">
        <f>D14*J14</f>
        <v>2013227.59</v>
      </c>
      <c r="L14" s="3" t="s">
        <v>30</v>
      </c>
      <c r="M14" s="3" t="s">
        <v>375</v>
      </c>
      <c r="O14" s="23">
        <v>1</v>
      </c>
      <c r="P14" s="23">
        <f t="shared" si="0"/>
        <v>0</v>
      </c>
      <c r="Q14" s="61">
        <f t="shared" si="1"/>
        <v>3.7696832979476284E-2</v>
      </c>
      <c r="R14" s="24" t="s">
        <v>290</v>
      </c>
    </row>
    <row r="15" spans="2:22" ht="37.5" x14ac:dyDescent="0.25">
      <c r="B15" s="17" t="s">
        <v>291</v>
      </c>
      <c r="C15" s="17" t="s">
        <v>150</v>
      </c>
      <c r="D15" s="31">
        <v>271741.74</v>
      </c>
      <c r="E15" s="23" t="s">
        <v>281</v>
      </c>
      <c r="F15" s="79" t="s">
        <v>282</v>
      </c>
      <c r="G15" s="79" t="s">
        <v>282</v>
      </c>
      <c r="H15" s="114">
        <f>G61</f>
        <v>0.4373020173042953</v>
      </c>
      <c r="I15" s="21">
        <f>D15*H15</f>
        <v>118833.21108777932</v>
      </c>
      <c r="J15" s="64">
        <f>K15/D15</f>
        <v>0.42081711619638729</v>
      </c>
      <c r="K15" s="52">
        <f>I15*(O15*(1-Assumptions!$C$39)+P15*(1-Assumptions!$D$39))</f>
        <v>114353.57537698846</v>
      </c>
      <c r="L15" s="3" t="s">
        <v>283</v>
      </c>
      <c r="M15" s="3" t="s">
        <v>19</v>
      </c>
      <c r="O15" s="23">
        <v>1</v>
      </c>
      <c r="P15" s="23">
        <f t="shared" si="0"/>
        <v>0</v>
      </c>
      <c r="Q15" s="61">
        <f t="shared" si="1"/>
        <v>3.7696832979476194E-2</v>
      </c>
      <c r="R15" s="3" t="s">
        <v>285</v>
      </c>
      <c r="T15" s="5"/>
      <c r="U15" s="5"/>
    </row>
    <row r="16" spans="2:22" ht="137.5" x14ac:dyDescent="0.25">
      <c r="B16" s="17" t="s">
        <v>137</v>
      </c>
      <c r="C16" s="17" t="s">
        <v>133</v>
      </c>
      <c r="D16" s="31">
        <v>1200420.6200000001</v>
      </c>
      <c r="E16" s="54">
        <f>Sources!P21</f>
        <v>0.83</v>
      </c>
      <c r="F16" s="90" t="s">
        <v>376</v>
      </c>
      <c r="G16" s="90" t="s">
        <v>281</v>
      </c>
      <c r="H16" s="64">
        <f>I16/D16</f>
        <v>0.86566136791479686</v>
      </c>
      <c r="I16" s="52">
        <f>K16/(O16*(1-Assumptions!$C$39)+P16*(1-Assumptions!$D$39))</f>
        <v>1039157.7559823287</v>
      </c>
      <c r="J16" s="54">
        <f>Sources!P21</f>
        <v>0.83</v>
      </c>
      <c r="K16" s="21">
        <f>D16*J16</f>
        <v>996349.11460000009</v>
      </c>
      <c r="L16" s="3" t="s">
        <v>25</v>
      </c>
      <c r="M16" s="3" t="s">
        <v>377</v>
      </c>
      <c r="O16" s="64">
        <f>Assumptions!V134</f>
        <v>0.98020421578124284</v>
      </c>
      <c r="P16" s="64">
        <f t="shared" si="0"/>
        <v>1.9795784218757162E-2</v>
      </c>
      <c r="Q16" s="61">
        <f t="shared" si="1"/>
        <v>4.119551736575458E-2</v>
      </c>
      <c r="R16" s="3" t="s">
        <v>378</v>
      </c>
    </row>
    <row r="17" spans="1:18" ht="125" x14ac:dyDescent="0.25">
      <c r="B17" s="17" t="s">
        <v>141</v>
      </c>
      <c r="C17" s="17" t="s">
        <v>142</v>
      </c>
      <c r="D17" s="31">
        <v>872194.69</v>
      </c>
      <c r="E17" s="54">
        <f>Sources!J24</f>
        <v>0.224</v>
      </c>
      <c r="F17" s="79" t="s">
        <v>295</v>
      </c>
      <c r="G17" s="79" t="s">
        <v>296</v>
      </c>
      <c r="H17" s="54">
        <f>Sources!J24</f>
        <v>0.224</v>
      </c>
      <c r="I17" s="21">
        <f t="shared" ref="I17:I33" si="2">D17*H17</f>
        <v>195371.61056</v>
      </c>
      <c r="J17" s="64">
        <f t="shared" ref="J17:J33" si="3">K17/D17</f>
        <v>0.21555590941259734</v>
      </c>
      <c r="K17" s="52">
        <f>I17*(O17*(1-Assumptions!$C$39)+P17*(1-Assumptions!$D$39))</f>
        <v>188006.71958778839</v>
      </c>
      <c r="L17" s="3" t="s">
        <v>25</v>
      </c>
      <c r="M17" s="3" t="s">
        <v>297</v>
      </c>
      <c r="O17" s="23">
        <v>1</v>
      </c>
      <c r="P17" s="23">
        <f t="shared" si="0"/>
        <v>0</v>
      </c>
      <c r="Q17" s="61">
        <f t="shared" si="1"/>
        <v>3.7696832979476298E-2</v>
      </c>
      <c r="R17" s="3" t="s">
        <v>298</v>
      </c>
    </row>
    <row r="18" spans="1:18" ht="100" x14ac:dyDescent="0.25">
      <c r="A18" s="5"/>
      <c r="B18" s="17" t="s">
        <v>45</v>
      </c>
      <c r="C18" s="17" t="s">
        <v>150</v>
      </c>
      <c r="D18" s="31">
        <v>34399383.329999998</v>
      </c>
      <c r="E18" s="54">
        <f>Sources!J27</f>
        <v>0.35</v>
      </c>
      <c r="F18" s="79" t="s">
        <v>299</v>
      </c>
      <c r="G18" s="79" t="s">
        <v>296</v>
      </c>
      <c r="H18" s="112">
        <f>Sources!J27</f>
        <v>0.35</v>
      </c>
      <c r="I18" s="21">
        <f t="shared" si="2"/>
        <v>12039784.165499998</v>
      </c>
      <c r="J18" s="64">
        <f t="shared" si="3"/>
        <v>0.33680610845718328</v>
      </c>
      <c r="K18" s="52">
        <f>I18*(O18*(1-Assumptions!$C$39)+P18*(1-Assumptions!$D$39))</f>
        <v>11585922.432704203</v>
      </c>
      <c r="L18" s="3" t="s">
        <v>25</v>
      </c>
      <c r="M18" s="3" t="s">
        <v>379</v>
      </c>
      <c r="O18" s="23">
        <v>1</v>
      </c>
      <c r="P18" s="23">
        <f t="shared" si="0"/>
        <v>0</v>
      </c>
      <c r="Q18" s="61">
        <f t="shared" si="1"/>
        <v>3.769683297947618E-2</v>
      </c>
      <c r="R18" s="3" t="s">
        <v>298</v>
      </c>
    </row>
    <row r="19" spans="1:18" ht="125" x14ac:dyDescent="0.25">
      <c r="B19" s="17" t="s">
        <v>300</v>
      </c>
      <c r="C19" s="17" t="s">
        <v>142</v>
      </c>
      <c r="D19" s="31">
        <v>2717915.84</v>
      </c>
      <c r="E19" s="54">
        <f>Sources!J30</f>
        <v>0.42499999999999999</v>
      </c>
      <c r="F19" s="79" t="s">
        <v>323</v>
      </c>
      <c r="G19" s="79" t="s">
        <v>296</v>
      </c>
      <c r="H19" s="112">
        <f>Sources!J30</f>
        <v>0.42499999999999999</v>
      </c>
      <c r="I19" s="21">
        <f t="shared" si="2"/>
        <v>1155114.2319999998</v>
      </c>
      <c r="J19" s="64">
        <f t="shared" si="3"/>
        <v>0.40897884598372258</v>
      </c>
      <c r="K19" s="52">
        <f>I19*(O19*(1-Assumptions!$C$39)+P19*(1-Assumptions!$D$39))</f>
        <v>1111570.0837240799</v>
      </c>
      <c r="L19" s="3" t="s">
        <v>30</v>
      </c>
      <c r="M19" s="3" t="s">
        <v>380</v>
      </c>
      <c r="O19" s="23">
        <v>1</v>
      </c>
      <c r="P19" s="23">
        <f t="shared" si="0"/>
        <v>0</v>
      </c>
      <c r="Q19" s="61">
        <f t="shared" si="1"/>
        <v>3.7696832979476236E-2</v>
      </c>
      <c r="R19" s="3" t="s">
        <v>298</v>
      </c>
    </row>
    <row r="20" spans="1:18" ht="37.5" x14ac:dyDescent="0.25">
      <c r="B20" s="17" t="s">
        <v>301</v>
      </c>
      <c r="C20" s="17" t="s">
        <v>280</v>
      </c>
      <c r="D20" s="31">
        <v>315038.46999999997</v>
      </c>
      <c r="E20" s="23" t="s">
        <v>281</v>
      </c>
      <c r="F20" s="79" t="s">
        <v>282</v>
      </c>
      <c r="G20" s="79" t="s">
        <v>282</v>
      </c>
      <c r="H20" s="114">
        <f>G59</f>
        <v>0.39262478071331486</v>
      </c>
      <c r="I20" s="21">
        <f t="shared" si="2"/>
        <v>123691.91020000821</v>
      </c>
      <c r="J20" s="64">
        <f t="shared" si="3"/>
        <v>0.37782406993116152</v>
      </c>
      <c r="K20" s="52">
        <f>I20*(O20*(1-Assumptions!$C$39)+P20*(1-Assumptions!$D$39))</f>
        <v>119029.11692028612</v>
      </c>
      <c r="L20" s="3" t="s">
        <v>283</v>
      </c>
      <c r="M20" s="3" t="s">
        <v>381</v>
      </c>
      <c r="O20" s="23">
        <v>1</v>
      </c>
      <c r="P20" s="23">
        <f t="shared" si="0"/>
        <v>0</v>
      </c>
      <c r="Q20" s="61">
        <f t="shared" si="1"/>
        <v>3.7696832979476264E-2</v>
      </c>
      <c r="R20" s="3" t="s">
        <v>298</v>
      </c>
    </row>
    <row r="21" spans="1:18" ht="37.5" x14ac:dyDescent="0.25">
      <c r="B21" s="17" t="s">
        <v>303</v>
      </c>
      <c r="C21" s="17" t="s">
        <v>304</v>
      </c>
      <c r="D21" s="31">
        <v>1386684.53</v>
      </c>
      <c r="E21" s="23" t="s">
        <v>281</v>
      </c>
      <c r="F21" s="79" t="s">
        <v>282</v>
      </c>
      <c r="G21" s="79" t="s">
        <v>282</v>
      </c>
      <c r="H21" s="113">
        <f>G63</f>
        <v>0.21363812040586161</v>
      </c>
      <c r="I21" s="21">
        <f t="shared" si="2"/>
        <v>296248.67658508563</v>
      </c>
      <c r="J21" s="64">
        <f t="shared" si="3"/>
        <v>0.20558463986287265</v>
      </c>
      <c r="K21" s="52">
        <f>I21*(O21*(1-Assumptions!$C$39)+P21*(1-Assumptions!$D$39))</f>
        <v>285081.03970346681</v>
      </c>
      <c r="L21" s="3" t="s">
        <v>283</v>
      </c>
      <c r="M21" s="3" t="s">
        <v>381</v>
      </c>
      <c r="O21" s="23">
        <v>1</v>
      </c>
      <c r="P21" s="23">
        <f t="shared" si="0"/>
        <v>0</v>
      </c>
      <c r="Q21" s="61">
        <f t="shared" si="1"/>
        <v>3.7696832979476146E-2</v>
      </c>
      <c r="R21" s="3"/>
    </row>
    <row r="22" spans="1:18" ht="100" x14ac:dyDescent="0.25">
      <c r="B22" s="17" t="s">
        <v>44</v>
      </c>
      <c r="C22" s="17" t="s">
        <v>129</v>
      </c>
      <c r="D22" s="33">
        <f>Assumptions!E21</f>
        <v>18400000</v>
      </c>
      <c r="E22" s="54">
        <f>Sources!J84</f>
        <v>0.79700000000000004</v>
      </c>
      <c r="F22" s="91" t="s">
        <v>382</v>
      </c>
      <c r="G22" s="79" t="s">
        <v>296</v>
      </c>
      <c r="H22" s="112">
        <f>Sources!J84</f>
        <v>0.79700000000000004</v>
      </c>
      <c r="I22" s="21">
        <f t="shared" si="2"/>
        <v>14664800</v>
      </c>
      <c r="J22" s="64">
        <f t="shared" si="3"/>
        <v>0.7542040917636208</v>
      </c>
      <c r="K22" s="52">
        <f>I22*(O22*(1-Assumptions!$C$39)+P22*(1-Assumptions!$D$39))</f>
        <v>13877355.288450623</v>
      </c>
      <c r="L22" s="3" t="s">
        <v>35</v>
      </c>
      <c r="M22" s="3" t="s">
        <v>383</v>
      </c>
      <c r="O22" s="64">
        <f>Assumptions!AK147</f>
        <v>0.90947427742998455</v>
      </c>
      <c r="P22" s="64">
        <f t="shared" si="0"/>
        <v>9.0525722570015454E-2</v>
      </c>
      <c r="Q22" s="61">
        <f t="shared" si="1"/>
        <v>5.3696246218794465E-2</v>
      </c>
      <c r="R22" s="3"/>
    </row>
    <row r="23" spans="1:18" ht="100" x14ac:dyDescent="0.25">
      <c r="B23" s="17" t="s">
        <v>144</v>
      </c>
      <c r="C23" s="17" t="s">
        <v>145</v>
      </c>
      <c r="D23" s="31">
        <v>6742763.29</v>
      </c>
      <c r="E23" s="54">
        <f>Sources!J36</f>
        <v>0.6</v>
      </c>
      <c r="F23" s="91" t="s">
        <v>382</v>
      </c>
      <c r="G23" s="79" t="s">
        <v>296</v>
      </c>
      <c r="H23" s="112">
        <f>Sources!J36</f>
        <v>0.6</v>
      </c>
      <c r="I23" s="21">
        <f t="shared" si="2"/>
        <v>4045657.9739999999</v>
      </c>
      <c r="J23" s="64">
        <f t="shared" si="3"/>
        <v>0.57738190021231417</v>
      </c>
      <c r="K23" s="52">
        <f>I23*(O23*(1-Assumptions!$C$39)+P23*(1-Assumptions!$D$39))</f>
        <v>3893149.4810620355</v>
      </c>
      <c r="L23" s="3" t="s">
        <v>25</v>
      </c>
      <c r="M23" s="3" t="s">
        <v>384</v>
      </c>
      <c r="O23" s="23">
        <v>1</v>
      </c>
      <c r="P23" s="23">
        <f t="shared" si="0"/>
        <v>0</v>
      </c>
      <c r="Q23" s="61">
        <f t="shared" si="1"/>
        <v>3.7696832979476277E-2</v>
      </c>
      <c r="R23" s="3" t="s">
        <v>385</v>
      </c>
    </row>
    <row r="24" spans="1:18" ht="25" x14ac:dyDescent="0.25">
      <c r="B24" s="17" t="s">
        <v>307</v>
      </c>
      <c r="C24" s="17" t="s">
        <v>150</v>
      </c>
      <c r="D24" s="31">
        <v>299912.69</v>
      </c>
      <c r="E24" s="23" t="s">
        <v>281</v>
      </c>
      <c r="F24" s="79" t="s">
        <v>282</v>
      </c>
      <c r="G24" s="79" t="s">
        <v>282</v>
      </c>
      <c r="H24" s="114">
        <f>G61</f>
        <v>0.4373020173042953</v>
      </c>
      <c r="I24" s="21">
        <f t="shared" si="2"/>
        <v>131152.42435215774</v>
      </c>
      <c r="J24" s="64">
        <f t="shared" si="3"/>
        <v>0.42081711619638723</v>
      </c>
      <c r="K24" s="52">
        <f>I24*(O24*(1-Assumptions!$C$39)+P24*(1-Assumptions!$D$39))</f>
        <v>126208.39331650107</v>
      </c>
      <c r="L24" s="3" t="s">
        <v>283</v>
      </c>
      <c r="M24" s="3" t="s">
        <v>19</v>
      </c>
      <c r="O24" s="23">
        <v>1</v>
      </c>
      <c r="P24" s="23">
        <f t="shared" si="0"/>
        <v>0</v>
      </c>
      <c r="Q24" s="61">
        <f t="shared" si="1"/>
        <v>3.7696832979476194E-2</v>
      </c>
      <c r="R24" s="3" t="s">
        <v>298</v>
      </c>
    </row>
    <row r="25" spans="1:18" ht="37.5" x14ac:dyDescent="0.25">
      <c r="B25" s="17" t="s">
        <v>308</v>
      </c>
      <c r="C25" s="17" t="s">
        <v>280</v>
      </c>
      <c r="D25" s="31">
        <v>296996.03999999998</v>
      </c>
      <c r="E25" s="23" t="s">
        <v>281</v>
      </c>
      <c r="F25" s="79" t="s">
        <v>282</v>
      </c>
      <c r="G25" s="79" t="s">
        <v>282</v>
      </c>
      <c r="H25" s="114">
        <f>G59</f>
        <v>0.39262478071331486</v>
      </c>
      <c r="I25" s="21">
        <f t="shared" si="2"/>
        <v>116608.00507772288</v>
      </c>
      <c r="J25" s="64">
        <f t="shared" si="3"/>
        <v>0.37782406993116152</v>
      </c>
      <c r="K25" s="52">
        <f>I25*(O25*(1-Assumptions!$C$39)+P25*(1-Assumptions!$D$39))</f>
        <v>112212.25258623804</v>
      </c>
      <c r="L25" s="3" t="s">
        <v>283</v>
      </c>
      <c r="M25" s="3" t="s">
        <v>386</v>
      </c>
      <c r="O25" s="23">
        <v>1</v>
      </c>
      <c r="P25" s="23">
        <f t="shared" si="0"/>
        <v>0</v>
      </c>
      <c r="Q25" s="61">
        <f t="shared" si="1"/>
        <v>3.7696832979476208E-2</v>
      </c>
      <c r="R25" s="3" t="s">
        <v>316</v>
      </c>
    </row>
    <row r="26" spans="1:18" ht="37.5" x14ac:dyDescent="0.25">
      <c r="B26" s="17" t="s">
        <v>311</v>
      </c>
      <c r="C26" s="17" t="s">
        <v>280</v>
      </c>
      <c r="D26" s="31">
        <v>107942.05</v>
      </c>
      <c r="E26" s="23" t="s">
        <v>281</v>
      </c>
      <c r="F26" s="79" t="s">
        <v>282</v>
      </c>
      <c r="G26" s="79" t="s">
        <v>282</v>
      </c>
      <c r="H26" s="113">
        <f>G59</f>
        <v>0.39262478071331486</v>
      </c>
      <c r="I26" s="21">
        <f t="shared" si="2"/>
        <v>42380.72371099567</v>
      </c>
      <c r="J26" s="64">
        <f t="shared" si="3"/>
        <v>0.37782406993116152</v>
      </c>
      <c r="K26" s="52">
        <f>I26*(O26*(1-Assumptions!$C$39)+P26*(1-Assumptions!$D$39))</f>
        <v>40783.104647712935</v>
      </c>
      <c r="L26" s="3" t="s">
        <v>283</v>
      </c>
      <c r="M26" s="3" t="s">
        <v>387</v>
      </c>
      <c r="O26" s="23">
        <v>1</v>
      </c>
      <c r="P26" s="23">
        <f t="shared" si="0"/>
        <v>0</v>
      </c>
      <c r="Q26" s="61">
        <f t="shared" si="1"/>
        <v>3.7696832979476298E-2</v>
      </c>
      <c r="R26" s="3" t="s">
        <v>294</v>
      </c>
    </row>
    <row r="27" spans="1:18" ht="100" x14ac:dyDescent="0.25">
      <c r="B27" s="17" t="s">
        <v>313</v>
      </c>
      <c r="C27" s="17" t="s">
        <v>280</v>
      </c>
      <c r="D27" s="31">
        <v>270665.03999999998</v>
      </c>
      <c r="E27" s="54">
        <f>Sources!J111</f>
        <v>0.68</v>
      </c>
      <c r="F27" s="79" t="s">
        <v>388</v>
      </c>
      <c r="G27" s="79" t="s">
        <v>296</v>
      </c>
      <c r="H27" s="112">
        <f>Sources!J111</f>
        <v>0.68</v>
      </c>
      <c r="I27" s="21">
        <f t="shared" si="2"/>
        <v>184052.22719999999</v>
      </c>
      <c r="J27" s="64">
        <f t="shared" si="3"/>
        <v>0.65436615357395622</v>
      </c>
      <c r="K27" s="52">
        <f>I27*(O27*(1-Assumptions!$C$39)+P27*(1-Assumptions!$D$39))</f>
        <v>177114.04113174099</v>
      </c>
      <c r="L27" s="3" t="s">
        <v>25</v>
      </c>
      <c r="M27" s="39" t="s">
        <v>315</v>
      </c>
      <c r="O27" s="23">
        <v>1</v>
      </c>
      <c r="P27" s="23">
        <f t="shared" si="0"/>
        <v>0</v>
      </c>
      <c r="Q27" s="61">
        <f t="shared" si="1"/>
        <v>3.7696832979476194E-2</v>
      </c>
      <c r="R27" s="3"/>
    </row>
    <row r="28" spans="1:18" ht="100" x14ac:dyDescent="0.25">
      <c r="B28" s="17" t="s">
        <v>65</v>
      </c>
      <c r="C28" s="17" t="s">
        <v>150</v>
      </c>
      <c r="D28" s="31">
        <v>2494867.8199999998</v>
      </c>
      <c r="E28" s="54">
        <f>Sources!J48</f>
        <v>0.76900000000000002</v>
      </c>
      <c r="F28" s="79" t="s">
        <v>330</v>
      </c>
      <c r="G28" s="79" t="s">
        <v>296</v>
      </c>
      <c r="H28" s="54">
        <f>Sources!J48</f>
        <v>0.76900000000000002</v>
      </c>
      <c r="I28" s="21">
        <f t="shared" si="2"/>
        <v>1918553.3535799999</v>
      </c>
      <c r="J28" s="64">
        <f t="shared" si="3"/>
        <v>0.74001113543878283</v>
      </c>
      <c r="K28" s="52">
        <f>I28*(O28*(1-Assumptions!$C$39)+P28*(1-Assumptions!$D$39))</f>
        <v>1846229.9682478807</v>
      </c>
      <c r="L28" s="3" t="s">
        <v>35</v>
      </c>
      <c r="M28" s="3" t="s">
        <v>389</v>
      </c>
      <c r="O28" s="23">
        <v>1</v>
      </c>
      <c r="P28" s="23">
        <f t="shared" si="0"/>
        <v>0</v>
      </c>
      <c r="Q28" s="61">
        <f t="shared" si="1"/>
        <v>3.7696832979476194E-2</v>
      </c>
      <c r="R28" s="3"/>
    </row>
    <row r="29" spans="1:18" ht="62.5" x14ac:dyDescent="0.25">
      <c r="B29" s="17" t="s">
        <v>318</v>
      </c>
      <c r="C29" s="17" t="s">
        <v>129</v>
      </c>
      <c r="D29" s="31">
        <v>414610.71</v>
      </c>
      <c r="E29" s="23" t="s">
        <v>281</v>
      </c>
      <c r="F29" s="79" t="s">
        <v>282</v>
      </c>
      <c r="G29" s="79" t="s">
        <v>282</v>
      </c>
      <c r="H29" s="114">
        <f>G65</f>
        <v>0.6648172038434883</v>
      </c>
      <c r="I29" s="21">
        <f t="shared" si="2"/>
        <v>275640.33290576341</v>
      </c>
      <c r="J29" s="64">
        <f t="shared" si="3"/>
        <v>0.52225666433164308</v>
      </c>
      <c r="K29" s="52">
        <f>I29*(O29*(1-Assumptions!$C$39)+P29*(1-Assumptions!$D$39))</f>
        <v>216533.20640077424</v>
      </c>
      <c r="L29" s="3" t="s">
        <v>283</v>
      </c>
      <c r="M29" s="3" t="s">
        <v>319</v>
      </c>
      <c r="O29" s="23">
        <v>0</v>
      </c>
      <c r="P29" s="23">
        <f t="shared" si="0"/>
        <v>1</v>
      </c>
      <c r="Q29" s="61">
        <f t="shared" si="1"/>
        <v>0.21443569553805775</v>
      </c>
      <c r="R29" s="3" t="s">
        <v>390</v>
      </c>
    </row>
    <row r="30" spans="1:18" ht="37.5" x14ac:dyDescent="0.25">
      <c r="B30" s="17" t="s">
        <v>321</v>
      </c>
      <c r="C30" s="17" t="s">
        <v>150</v>
      </c>
      <c r="D30" s="31">
        <v>140424.37</v>
      </c>
      <c r="E30" s="23" t="s">
        <v>281</v>
      </c>
      <c r="F30" s="79" t="s">
        <v>282</v>
      </c>
      <c r="G30" s="79" t="s">
        <v>282</v>
      </c>
      <c r="H30" s="61">
        <f>Sources!J108</f>
        <v>8.9886847810592502E-2</v>
      </c>
      <c r="I30" s="21">
        <f t="shared" si="2"/>
        <v>12622.303975088331</v>
      </c>
      <c r="J30" s="64">
        <f t="shared" si="3"/>
        <v>8.6498398321624995E-2</v>
      </c>
      <c r="K30" s="52">
        <f>I30*(O30*(1-Assumptions!$C$39)+P30*(1-Assumptions!$D$39))</f>
        <v>12146.483090323247</v>
      </c>
      <c r="L30" s="3" t="s">
        <v>25</v>
      </c>
      <c r="M30" s="3" t="s">
        <v>391</v>
      </c>
      <c r="O30" s="23">
        <v>1</v>
      </c>
      <c r="P30" s="23">
        <f t="shared" si="0"/>
        <v>0</v>
      </c>
      <c r="Q30" s="61">
        <f t="shared" si="1"/>
        <v>3.769683297947625E-2</v>
      </c>
      <c r="R30" s="3" t="s">
        <v>392</v>
      </c>
    </row>
    <row r="31" spans="1:18" ht="162.5" x14ac:dyDescent="0.25">
      <c r="B31" s="17" t="s">
        <v>242</v>
      </c>
      <c r="C31" s="17" t="s">
        <v>142</v>
      </c>
      <c r="D31" s="31">
        <v>7268638.79</v>
      </c>
      <c r="E31" s="54">
        <f>Sources!J54</f>
        <v>9.9000000000000005E-2</v>
      </c>
      <c r="F31" s="79" t="s">
        <v>393</v>
      </c>
      <c r="G31" s="79" t="s">
        <v>296</v>
      </c>
      <c r="H31" s="54">
        <f>Sources!J54</f>
        <v>9.9000000000000005E-2</v>
      </c>
      <c r="I31" s="21">
        <f t="shared" si="2"/>
        <v>719595.24021000008</v>
      </c>
      <c r="J31" s="64">
        <f t="shared" si="3"/>
        <v>9.0663501063110913E-2</v>
      </c>
      <c r="K31" s="52">
        <f>I31*(O31*(1-Assumptions!$C$39)+P31*(1-Assumptions!$D$39))</f>
        <v>659000.24066453427</v>
      </c>
      <c r="L31" s="3" t="s">
        <v>30</v>
      </c>
      <c r="M31" s="3" t="s">
        <v>394</v>
      </c>
      <c r="O31" s="64">
        <f>Assumptions!D158</f>
        <v>0.73684210526315785</v>
      </c>
      <c r="P31" s="64">
        <f t="shared" si="0"/>
        <v>0.26315789473684215</v>
      </c>
      <c r="Q31" s="61">
        <f t="shared" si="1"/>
        <v>8.4207059968576664E-2</v>
      </c>
      <c r="R31" s="3" t="s">
        <v>395</v>
      </c>
    </row>
    <row r="32" spans="1:18" ht="87.5" x14ac:dyDescent="0.25">
      <c r="B32" s="17" t="s">
        <v>324</v>
      </c>
      <c r="C32" s="17" t="s">
        <v>304</v>
      </c>
      <c r="D32" s="31">
        <v>2510379.8199999998</v>
      </c>
      <c r="E32" s="23" t="s">
        <v>281</v>
      </c>
      <c r="F32" s="99" t="s">
        <v>282</v>
      </c>
      <c r="G32" s="99" t="s">
        <v>282</v>
      </c>
      <c r="H32" s="61">
        <f>Sources!J81</f>
        <v>0.181411073564997</v>
      </c>
      <c r="I32" s="21">
        <f t="shared" si="2"/>
        <v>455410.6982021039</v>
      </c>
      <c r="J32" s="64">
        <f t="shared" si="3"/>
        <v>0.17457245062418983</v>
      </c>
      <c r="K32" s="52">
        <f>I32*(O32*(1-Assumptions!$C$39)+P32*(1-Assumptions!$D$39))</f>
        <v>438243.15717491251</v>
      </c>
      <c r="L32" s="3" t="s">
        <v>25</v>
      </c>
      <c r="M32" s="3" t="s">
        <v>396</v>
      </c>
      <c r="O32" s="23">
        <v>1</v>
      </c>
      <c r="P32" s="23">
        <f t="shared" si="0"/>
        <v>0</v>
      </c>
      <c r="Q32" s="61">
        <f t="shared" si="1"/>
        <v>3.769683297947627E-2</v>
      </c>
      <c r="R32" s="3" t="s">
        <v>285</v>
      </c>
    </row>
    <row r="33" spans="2:18" ht="37.5" x14ac:dyDescent="0.25">
      <c r="B33" s="17" t="s">
        <v>154</v>
      </c>
      <c r="C33" s="17" t="s">
        <v>145</v>
      </c>
      <c r="D33" s="31">
        <v>765115.9</v>
      </c>
      <c r="E33" s="23" t="s">
        <v>281</v>
      </c>
      <c r="F33" s="79" t="s">
        <v>282</v>
      </c>
      <c r="G33" s="79" t="s">
        <v>282</v>
      </c>
      <c r="H33" s="114">
        <f>G64</f>
        <v>0.6</v>
      </c>
      <c r="I33" s="21">
        <f t="shared" si="2"/>
        <v>459069.54</v>
      </c>
      <c r="J33" s="64">
        <f t="shared" si="3"/>
        <v>0.57738190021231428</v>
      </c>
      <c r="K33" s="52">
        <f>I33*(O33*(1-Assumptions!$C$39)+P33*(1-Assumptions!$D$39))</f>
        <v>441764.07222465501</v>
      </c>
      <c r="L33" s="3" t="s">
        <v>283</v>
      </c>
      <c r="M33" s="3" t="s">
        <v>381</v>
      </c>
      <c r="O33" s="23">
        <v>1</v>
      </c>
      <c r="P33" s="23">
        <f t="shared" si="0"/>
        <v>0</v>
      </c>
      <c r="Q33" s="61">
        <f t="shared" si="1"/>
        <v>3.7696832979476194E-2</v>
      </c>
      <c r="R33" s="3" t="s">
        <v>298</v>
      </c>
    </row>
    <row r="34" spans="2:18" ht="50" x14ac:dyDescent="0.25">
      <c r="B34" s="17" t="s">
        <v>325</v>
      </c>
      <c r="C34" s="17" t="s">
        <v>142</v>
      </c>
      <c r="D34" s="31">
        <v>1501457.81</v>
      </c>
      <c r="E34" s="23" t="s">
        <v>281</v>
      </c>
      <c r="F34" s="99" t="s">
        <v>282</v>
      </c>
      <c r="G34" s="99" t="s">
        <v>282</v>
      </c>
      <c r="H34" s="64">
        <f>I34/D34</f>
        <v>0.85658233114482385</v>
      </c>
      <c r="I34" s="52">
        <f>K34/(O34*(1-Assumptions!$C$39)+P34*(1-Assumptions!$D$39))</f>
        <v>1286122.231005402</v>
      </c>
      <c r="J34" s="115">
        <f>Sources!P72</f>
        <v>0.82429189007448711</v>
      </c>
      <c r="K34" s="21">
        <f>D34*J34</f>
        <v>1237639.4960720001</v>
      </c>
      <c r="L34" s="3" t="s">
        <v>25</v>
      </c>
      <c r="M34" s="3" t="s">
        <v>397</v>
      </c>
      <c r="O34" s="23">
        <v>1</v>
      </c>
      <c r="P34" s="23">
        <f t="shared" si="0"/>
        <v>0</v>
      </c>
      <c r="Q34" s="61">
        <f t="shared" si="1"/>
        <v>3.769683297947618E-2</v>
      </c>
      <c r="R34" s="3" t="s">
        <v>298</v>
      </c>
    </row>
    <row r="35" spans="2:18" ht="100" x14ac:dyDescent="0.25">
      <c r="B35" s="17" t="s">
        <v>326</v>
      </c>
      <c r="C35" s="17" t="s">
        <v>150</v>
      </c>
      <c r="D35" s="31">
        <v>4143898.86</v>
      </c>
      <c r="E35" s="54">
        <f>Sources!J75</f>
        <v>0.4</v>
      </c>
      <c r="F35" s="98" t="s">
        <v>398</v>
      </c>
      <c r="G35" s="79" t="s">
        <v>296</v>
      </c>
      <c r="H35" s="54">
        <f>Sources!J75</f>
        <v>0.4</v>
      </c>
      <c r="I35" s="21">
        <f>D35*H35</f>
        <v>1657559.544</v>
      </c>
      <c r="J35" s="64">
        <f>K35/D35</f>
        <v>0.38492126680820954</v>
      </c>
      <c r="K35" s="52">
        <f>I35*(O35*(1-Assumptions!$C$39)+P35*(1-Assumptions!$D$39))</f>
        <v>1595074.7987162953</v>
      </c>
      <c r="L35" s="3" t="s">
        <v>25</v>
      </c>
      <c r="M35" s="3" t="s">
        <v>399</v>
      </c>
      <c r="O35" s="23">
        <v>1</v>
      </c>
      <c r="P35" s="23">
        <f t="shared" si="0"/>
        <v>0</v>
      </c>
      <c r="Q35" s="61">
        <f t="shared" si="1"/>
        <v>3.7696832979476194E-2</v>
      </c>
      <c r="R35" s="3" t="s">
        <v>298</v>
      </c>
    </row>
    <row r="36" spans="2:18" ht="100" x14ac:dyDescent="0.25">
      <c r="B36" s="17" t="s">
        <v>327</v>
      </c>
      <c r="C36" s="17" t="s">
        <v>129</v>
      </c>
      <c r="D36" s="31">
        <v>3961599.85</v>
      </c>
      <c r="E36" s="54">
        <f>Sources!J102</f>
        <v>0.23</v>
      </c>
      <c r="F36" s="98" t="s">
        <v>400</v>
      </c>
      <c r="G36" s="79" t="s">
        <v>296</v>
      </c>
      <c r="H36" s="54">
        <f>Sources!J102</f>
        <v>0.23</v>
      </c>
      <c r="I36" s="21">
        <f>D36*H36</f>
        <v>911167.96550000005</v>
      </c>
      <c r="J36" s="64">
        <f>K36/D36</f>
        <v>0.18067979002624671</v>
      </c>
      <c r="K36" s="52">
        <f>I36*(O36*(1-Assumptions!$C$39)+P36*(1-Assumptions!$D$39))</f>
        <v>715781.02906601049</v>
      </c>
      <c r="L36" s="3" t="s">
        <v>25</v>
      </c>
      <c r="M36" s="3" t="s">
        <v>401</v>
      </c>
      <c r="O36" s="23">
        <v>0</v>
      </c>
      <c r="P36" s="23">
        <f t="shared" si="0"/>
        <v>1</v>
      </c>
      <c r="Q36" s="61">
        <f t="shared" si="1"/>
        <v>0.2144356955380578</v>
      </c>
      <c r="R36" s="3" t="s">
        <v>328</v>
      </c>
    </row>
    <row r="37" spans="2:18" ht="62.5" x14ac:dyDescent="0.25">
      <c r="B37" s="17" t="s">
        <v>329</v>
      </c>
      <c r="C37" s="17" t="s">
        <v>280</v>
      </c>
      <c r="D37" s="31">
        <v>313848.64</v>
      </c>
      <c r="E37" s="23" t="s">
        <v>281</v>
      </c>
      <c r="F37" s="79" t="s">
        <v>282</v>
      </c>
      <c r="G37" s="79" t="s">
        <v>282</v>
      </c>
      <c r="H37" s="114">
        <f>G59</f>
        <v>0.39262478071331486</v>
      </c>
      <c r="I37" s="21">
        <f>D37*H37</f>
        <v>123224.7534571721</v>
      </c>
      <c r="J37" s="64">
        <f>K37/D37</f>
        <v>0.37782406993116158</v>
      </c>
      <c r="K37" s="52">
        <f>I37*(O37*(1-Assumptions!$C$39)+P37*(1-Assumptions!$D$39))</f>
        <v>118579.57050715995</v>
      </c>
      <c r="L37" s="3" t="s">
        <v>283</v>
      </c>
      <c r="M37" s="3" t="s">
        <v>381</v>
      </c>
      <c r="O37" s="23">
        <v>1</v>
      </c>
      <c r="P37" s="23">
        <f t="shared" si="0"/>
        <v>0</v>
      </c>
      <c r="Q37" s="61">
        <f t="shared" si="1"/>
        <v>3.7696832979476229E-2</v>
      </c>
      <c r="R37" s="3" t="s">
        <v>331</v>
      </c>
    </row>
    <row r="38" spans="2:18" ht="237.5" x14ac:dyDescent="0.25">
      <c r="B38" s="17" t="s">
        <v>72</v>
      </c>
      <c r="C38" s="17" t="s">
        <v>304</v>
      </c>
      <c r="D38" s="33">
        <f>Assumptions!E22</f>
        <v>800000</v>
      </c>
      <c r="E38" s="91" t="s">
        <v>402</v>
      </c>
      <c r="F38" s="91" t="s">
        <v>403</v>
      </c>
      <c r="G38" s="91" t="s">
        <v>281</v>
      </c>
      <c r="H38" s="64">
        <f>I38/D38</f>
        <v>0.31476578046523818</v>
      </c>
      <c r="I38" s="52">
        <f>K38/(O38*(1-Assumptions!$C$39)+P38*(1-Assumptions!$D$39))</f>
        <v>251812.62437219053</v>
      </c>
      <c r="J38" s="54">
        <f>Sources!P57</f>
        <v>0.30290010741138562</v>
      </c>
      <c r="K38" s="21">
        <f>D38*J38</f>
        <v>242320.08592910849</v>
      </c>
      <c r="L38" s="3" t="s">
        <v>25</v>
      </c>
      <c r="M38" s="39" t="s">
        <v>404</v>
      </c>
      <c r="O38" s="23">
        <v>1</v>
      </c>
      <c r="P38" s="23">
        <f t="shared" si="0"/>
        <v>0</v>
      </c>
      <c r="Q38" s="61">
        <f t="shared" si="1"/>
        <v>3.7696832979476187E-2</v>
      </c>
      <c r="R38" s="3" t="s">
        <v>298</v>
      </c>
    </row>
    <row r="39" spans="2:18" ht="100" x14ac:dyDescent="0.25">
      <c r="B39" s="17" t="s">
        <v>334</v>
      </c>
      <c r="C39" s="17" t="s">
        <v>150</v>
      </c>
      <c r="D39" s="31">
        <v>1231576.52</v>
      </c>
      <c r="E39" s="54">
        <f>Sources!J60</f>
        <v>0.82</v>
      </c>
      <c r="F39" s="79" t="s">
        <v>405</v>
      </c>
      <c r="G39" s="79" t="s">
        <v>296</v>
      </c>
      <c r="H39" s="54">
        <f>Sources!J60</f>
        <v>0.82</v>
      </c>
      <c r="I39" s="21">
        <f>D39*H39</f>
        <v>1009892.7463999999</v>
      </c>
      <c r="J39" s="64">
        <f>K39/D39</f>
        <v>0.78908859695682942</v>
      </c>
      <c r="K39" s="52">
        <f>I39*(O39*(1-Assumptions!$C$39)+P39*(1-Assumptions!$D$39))</f>
        <v>971822.98821177462</v>
      </c>
      <c r="L39" s="3" t="s">
        <v>35</v>
      </c>
      <c r="M39" s="3" t="s">
        <v>336</v>
      </c>
      <c r="O39" s="23">
        <v>1</v>
      </c>
      <c r="P39" s="23">
        <f t="shared" si="0"/>
        <v>0</v>
      </c>
      <c r="Q39" s="61">
        <f t="shared" si="1"/>
        <v>3.7696832979476215E-2</v>
      </c>
      <c r="R39" s="3"/>
    </row>
    <row r="40" spans="2:18" ht="100" x14ac:dyDescent="0.25">
      <c r="B40" s="17" t="s">
        <v>337</v>
      </c>
      <c r="C40" s="17" t="s">
        <v>150</v>
      </c>
      <c r="D40" s="31">
        <v>300851.06</v>
      </c>
      <c r="E40" s="54">
        <f>Sources!J66</f>
        <v>0.96899999999999997</v>
      </c>
      <c r="F40" s="79" t="s">
        <v>406</v>
      </c>
      <c r="G40" s="79" t="s">
        <v>296</v>
      </c>
      <c r="H40" s="54">
        <f>Sources!J66</f>
        <v>0.96899999999999997</v>
      </c>
      <c r="I40" s="21">
        <f>D40*H40</f>
        <v>291524.67713999999</v>
      </c>
      <c r="J40" s="64">
        <f>K40/D40</f>
        <v>0.76121181102362201</v>
      </c>
      <c r="K40" s="52">
        <f>I40*(O40*(1-Assumptions!$C$39)+P40*(1-Assumptions!$D$39))</f>
        <v>229011.38023097636</v>
      </c>
      <c r="L40" s="3" t="s">
        <v>25</v>
      </c>
      <c r="M40" s="3" t="s">
        <v>407</v>
      </c>
      <c r="O40" s="23">
        <v>0</v>
      </c>
      <c r="P40" s="23">
        <f t="shared" si="0"/>
        <v>1</v>
      </c>
      <c r="Q40" s="61">
        <f t="shared" si="1"/>
        <v>0.21443569553805777</v>
      </c>
      <c r="R40" s="3" t="s">
        <v>408</v>
      </c>
    </row>
    <row r="41" spans="2:18" ht="100" x14ac:dyDescent="0.25">
      <c r="B41" s="17" t="s">
        <v>339</v>
      </c>
      <c r="C41" s="17" t="s">
        <v>150</v>
      </c>
      <c r="D41" s="31">
        <v>3230720.85</v>
      </c>
      <c r="E41" s="54">
        <f>Sources!J69</f>
        <v>0.97</v>
      </c>
      <c r="F41" s="91" t="s">
        <v>409</v>
      </c>
      <c r="G41" s="79" t="s">
        <v>296</v>
      </c>
      <c r="H41" s="112">
        <f>Sources!J69</f>
        <v>0.97</v>
      </c>
      <c r="I41" s="21">
        <f>D41*H41</f>
        <v>3133799.2245</v>
      </c>
      <c r="J41" s="64">
        <f>K41/D41</f>
        <v>0.93343407200990802</v>
      </c>
      <c r="K41" s="52">
        <f>I41*(O41*(1-Assumptions!$C$39)+P41*(1-Assumptions!$D$39))</f>
        <v>3015664.9185428112</v>
      </c>
      <c r="L41" s="3" t="s">
        <v>25</v>
      </c>
      <c r="M41" s="3" t="s">
        <v>410</v>
      </c>
      <c r="O41" s="23">
        <v>1</v>
      </c>
      <c r="P41" s="23">
        <f t="shared" si="0"/>
        <v>0</v>
      </c>
      <c r="Q41" s="61">
        <f t="shared" si="1"/>
        <v>3.7696832979476291E-2</v>
      </c>
      <c r="R41" s="3" t="s">
        <v>340</v>
      </c>
    </row>
    <row r="42" spans="2:18" ht="100" x14ac:dyDescent="0.25">
      <c r="B42" s="17" t="s">
        <v>411</v>
      </c>
      <c r="C42" s="17" t="s">
        <v>129</v>
      </c>
      <c r="D42" s="31">
        <v>1349476.82</v>
      </c>
      <c r="E42" s="89" t="s">
        <v>412</v>
      </c>
      <c r="F42" s="89" t="s">
        <v>343</v>
      </c>
      <c r="G42" s="79" t="s">
        <v>296</v>
      </c>
      <c r="H42" s="54">
        <f>Sources!J63</f>
        <v>0.13898995787713619</v>
      </c>
      <c r="I42" s="21">
        <f>D42*H42</f>
        <v>187563.72636797171</v>
      </c>
      <c r="J42" s="64">
        <f>K42/D42</f>
        <v>0.10918554958694715</v>
      </c>
      <c r="K42" s="52">
        <f>I42*(O42*(1-Assumptions!$C$39)+P42*(1-Assumptions!$D$39))</f>
        <v>147343.36824654575</v>
      </c>
      <c r="L42" s="3" t="s">
        <v>25</v>
      </c>
      <c r="M42" s="3" t="s">
        <v>344</v>
      </c>
      <c r="O42" s="23">
        <v>0</v>
      </c>
      <c r="P42" s="23">
        <f t="shared" si="0"/>
        <v>1</v>
      </c>
      <c r="Q42" s="61">
        <f t="shared" si="1"/>
        <v>0.21443569553805777</v>
      </c>
      <c r="R42" s="3" t="s">
        <v>413</v>
      </c>
    </row>
    <row r="43" spans="2:18" ht="37.5" x14ac:dyDescent="0.25">
      <c r="B43" s="17" t="s">
        <v>345</v>
      </c>
      <c r="C43" s="17" t="s">
        <v>280</v>
      </c>
      <c r="D43" s="31">
        <v>135889.5</v>
      </c>
      <c r="E43" s="54">
        <f>Sources!P99</f>
        <v>0.1</v>
      </c>
      <c r="F43" s="98" t="s">
        <v>414</v>
      </c>
      <c r="G43" s="98" t="s">
        <v>281</v>
      </c>
      <c r="H43" s="64">
        <f>I43/D43</f>
        <v>0.10391735518196338</v>
      </c>
      <c r="I43" s="38">
        <f>K43/(O43*(1-Assumptions!$C$39)+P43*(1-Assumptions!$D$39))</f>
        <v>14121.277436999413</v>
      </c>
      <c r="J43" s="54">
        <f>Sources!P99</f>
        <v>0.1</v>
      </c>
      <c r="K43" s="21">
        <f>D43*J43</f>
        <v>13588.95</v>
      </c>
      <c r="L43" s="3" t="s">
        <v>25</v>
      </c>
      <c r="M43" s="3" t="s">
        <v>415</v>
      </c>
      <c r="O43" s="23">
        <v>1</v>
      </c>
      <c r="P43" s="23">
        <f t="shared" si="0"/>
        <v>0</v>
      </c>
      <c r="Q43" s="61">
        <f t="shared" si="1"/>
        <v>3.769683297947618E-2</v>
      </c>
      <c r="R43" s="3"/>
    </row>
    <row r="44" spans="2:18" ht="125" x14ac:dyDescent="0.25">
      <c r="B44" s="17" t="s">
        <v>346</v>
      </c>
      <c r="C44" s="17" t="s">
        <v>133</v>
      </c>
      <c r="D44" s="31">
        <v>11863396.02</v>
      </c>
      <c r="E44" s="54">
        <f>Sources!J78</f>
        <v>0.28000000000000003</v>
      </c>
      <c r="F44" s="3" t="s">
        <v>416</v>
      </c>
      <c r="G44" s="79" t="s">
        <v>296</v>
      </c>
      <c r="H44" s="54">
        <f>Sources!J78</f>
        <v>0.28000000000000003</v>
      </c>
      <c r="I44" s="21">
        <f>D44*H44</f>
        <v>3321750.8856000002</v>
      </c>
      <c r="J44" s="64">
        <f>K44/D44</f>
        <v>0.22898369467017765</v>
      </c>
      <c r="K44" s="52">
        <f>I44*(O44*(1-Assumptions!$C$39)+P44*(1-Assumptions!$D$39))</f>
        <v>2716524.2519950806</v>
      </c>
      <c r="L44" s="3" t="s">
        <v>25</v>
      </c>
      <c r="M44" s="3" t="s">
        <v>417</v>
      </c>
      <c r="O44" s="64">
        <f>Assumptions!U121</f>
        <v>0.18238549579734886</v>
      </c>
      <c r="P44" s="64">
        <f t="shared" si="0"/>
        <v>0.81761450420265114</v>
      </c>
      <c r="Q44" s="61">
        <f t="shared" si="1"/>
        <v>0.18220109046365132</v>
      </c>
      <c r="R44" s="3"/>
    </row>
    <row r="45" spans="2:18" ht="112.5" x14ac:dyDescent="0.25">
      <c r="B45" s="17" t="s">
        <v>348</v>
      </c>
      <c r="C45" s="17" t="s">
        <v>150</v>
      </c>
      <c r="D45" s="31">
        <v>1800123.39</v>
      </c>
      <c r="E45" s="54">
        <f>Sources!P9</f>
        <v>0.14000000000000001</v>
      </c>
      <c r="F45" s="79" t="s">
        <v>418</v>
      </c>
      <c r="G45" s="79" t="s">
        <v>281</v>
      </c>
      <c r="H45" s="54">
        <f>Sources!J9</f>
        <v>0.14699999999999999</v>
      </c>
      <c r="I45" s="21">
        <f>D45*H45</f>
        <v>264618.13832999999</v>
      </c>
      <c r="J45" s="54">
        <f>Sources!P9</f>
        <v>0.14000000000000001</v>
      </c>
      <c r="K45" s="21">
        <f>D45*J45</f>
        <v>252017.2746</v>
      </c>
      <c r="L45" s="3" t="s">
        <v>25</v>
      </c>
      <c r="M45" s="3" t="s">
        <v>419</v>
      </c>
      <c r="O45" s="23">
        <v>1</v>
      </c>
      <c r="P45" s="23">
        <f t="shared" si="0"/>
        <v>0</v>
      </c>
      <c r="Q45" s="61">
        <f t="shared" si="1"/>
        <v>4.7619047619047554E-2</v>
      </c>
      <c r="R45" s="3" t="s">
        <v>298</v>
      </c>
    </row>
    <row r="46" spans="2:18" x14ac:dyDescent="0.25">
      <c r="O46" s="48"/>
      <c r="P46" s="48"/>
      <c r="R46"/>
    </row>
    <row r="47" spans="2:18" x14ac:dyDescent="0.25">
      <c r="B47" s="45" t="s">
        <v>420</v>
      </c>
      <c r="O47" s="48"/>
      <c r="P47" s="48"/>
      <c r="R47"/>
    </row>
    <row r="48" spans="2:18" ht="42.75" customHeight="1" thickBot="1" x14ac:dyDescent="0.3">
      <c r="B48" s="132" t="s">
        <v>813</v>
      </c>
      <c r="C48" s="132"/>
      <c r="D48" s="29">
        <f>SUMIFS(D11:D46,$L11:$L46,"&lt;&gt;No data found")</f>
        <v>117640026.65999998</v>
      </c>
      <c r="E48" s="111" t="s">
        <v>351</v>
      </c>
      <c r="F48" s="47" t="s">
        <v>351</v>
      </c>
      <c r="G48" s="47"/>
      <c r="H48" s="51">
        <f>I48/D48</f>
        <v>0.44479875850844397</v>
      </c>
      <c r="I48" s="29">
        <f>SUMIFS(I11:I46,L11:L46,"&lt;&gt;No data found")</f>
        <v>52326137.809268244</v>
      </c>
      <c r="J48" s="51">
        <f>K48/D48</f>
        <v>0.41909918769655524</v>
      </c>
      <c r="K48" s="29">
        <f>SUMIFS(K11:K46,L11:L46,"&lt;&gt;No data found")</f>
        <v>49302839.613807097</v>
      </c>
      <c r="L48" s="3" t="s">
        <v>351</v>
      </c>
      <c r="M48" s="3" t="s">
        <v>351</v>
      </c>
      <c r="O48" s="131" t="s">
        <v>352</v>
      </c>
      <c r="P48" s="131"/>
      <c r="Q48" s="61">
        <f>(I48-K48)/I48</f>
        <v>5.7777973342524165E-2</v>
      </c>
      <c r="R48"/>
    </row>
    <row r="49" spans="2:18" ht="42" customHeight="1" thickTop="1" thickBot="1" x14ac:dyDescent="0.3">
      <c r="B49" s="132" t="s">
        <v>814</v>
      </c>
      <c r="C49" s="132"/>
      <c r="D49" s="29">
        <f>SUM(D11:D45)</f>
        <v>124047889.39999999</v>
      </c>
      <c r="E49" s="111" t="s">
        <v>351</v>
      </c>
      <c r="F49" s="47" t="s">
        <v>351</v>
      </c>
      <c r="G49" s="47"/>
      <c r="H49" s="51">
        <f>I49/D49</f>
        <v>0.44023136884145003</v>
      </c>
      <c r="I49" s="29">
        <f>SUM(I11:I46)</f>
        <v>54609772.152454793</v>
      </c>
      <c r="J49" s="51">
        <f>K49/D49</f>
        <v>0.41477265001865737</v>
      </c>
      <c r="K49" s="29">
        <f>SUM(K11:K46)</f>
        <v>51451671.815659314</v>
      </c>
      <c r="L49" s="3" t="s">
        <v>351</v>
      </c>
      <c r="M49" s="3" t="s">
        <v>351</v>
      </c>
      <c r="O49" s="48"/>
      <c r="P49" s="48"/>
      <c r="R49"/>
    </row>
    <row r="50" spans="2:18" ht="42" customHeight="1" thickTop="1" thickBot="1" x14ac:dyDescent="0.3">
      <c r="B50" s="133" t="s">
        <v>815</v>
      </c>
      <c r="C50" s="133"/>
      <c r="D50" s="29">
        <f>Assumptions!E30</f>
        <v>139932189.98999989</v>
      </c>
      <c r="E50" s="111" t="s">
        <v>351</v>
      </c>
      <c r="F50" s="47" t="s">
        <v>351</v>
      </c>
      <c r="G50" s="47"/>
      <c r="H50" s="111" t="s">
        <v>351</v>
      </c>
      <c r="I50" s="46" t="s">
        <v>351</v>
      </c>
      <c r="J50" s="111" t="s">
        <v>351</v>
      </c>
      <c r="K50" s="46" t="s">
        <v>351</v>
      </c>
      <c r="L50" s="3" t="s">
        <v>351</v>
      </c>
      <c r="M50" s="3" t="s">
        <v>351</v>
      </c>
      <c r="O50" s="48"/>
      <c r="P50" s="48"/>
      <c r="R50"/>
    </row>
    <row r="51" spans="2:18" ht="27" customHeight="1" thickTop="1" thickBot="1" x14ac:dyDescent="0.3">
      <c r="B51" s="132" t="s">
        <v>811</v>
      </c>
      <c r="C51" s="132"/>
      <c r="D51" s="30">
        <f>D48/D50</f>
        <v>0.84069310048250512</v>
      </c>
      <c r="E51" s="111" t="s">
        <v>351</v>
      </c>
      <c r="F51" s="47" t="s">
        <v>351</v>
      </c>
      <c r="G51" s="47"/>
      <c r="H51" s="111" t="s">
        <v>351</v>
      </c>
      <c r="I51" s="46" t="s">
        <v>351</v>
      </c>
      <c r="J51" s="111" t="s">
        <v>351</v>
      </c>
      <c r="K51" s="46" t="s">
        <v>351</v>
      </c>
      <c r="L51" s="3" t="s">
        <v>351</v>
      </c>
      <c r="M51" s="3" t="s">
        <v>351</v>
      </c>
      <c r="O51" s="48"/>
      <c r="P51" s="48"/>
      <c r="R51"/>
    </row>
    <row r="52" spans="2:18" ht="30" customHeight="1" thickTop="1" thickBot="1" x14ac:dyDescent="0.3">
      <c r="B52" s="132" t="s">
        <v>812</v>
      </c>
      <c r="C52" s="132"/>
      <c r="D52" s="30">
        <f>D49/D50</f>
        <v>0.88648572861515962</v>
      </c>
      <c r="E52" s="111" t="s">
        <v>351</v>
      </c>
      <c r="F52" s="47" t="s">
        <v>351</v>
      </c>
      <c r="G52" s="47"/>
      <c r="H52" s="111" t="s">
        <v>351</v>
      </c>
      <c r="I52" s="46" t="s">
        <v>351</v>
      </c>
      <c r="J52" s="111" t="s">
        <v>351</v>
      </c>
      <c r="K52" s="46" t="s">
        <v>351</v>
      </c>
      <c r="L52" s="3" t="s">
        <v>351</v>
      </c>
      <c r="M52" s="3" t="s">
        <v>351</v>
      </c>
      <c r="O52" s="48"/>
      <c r="P52" s="48"/>
      <c r="R52"/>
    </row>
    <row r="53" spans="2:18" ht="13" thickTop="1" x14ac:dyDescent="0.25"/>
    <row r="58" spans="2:18" ht="50" x14ac:dyDescent="0.25">
      <c r="B58" s="2" t="s">
        <v>353</v>
      </c>
      <c r="C58" s="2" t="s">
        <v>354</v>
      </c>
      <c r="D58" s="2" t="s">
        <v>355</v>
      </c>
      <c r="E58" s="86" t="s">
        <v>356</v>
      </c>
      <c r="F58" s="2" t="s">
        <v>357</v>
      </c>
      <c r="G58" s="86" t="s">
        <v>358</v>
      </c>
    </row>
    <row r="59" spans="2:18" ht="37.5" x14ac:dyDescent="0.25">
      <c r="B59" s="17" t="s">
        <v>280</v>
      </c>
      <c r="C59" s="21">
        <f t="shared" ref="C59:C65" si="4">COUNTIFS($C$11:$C$46,$B59,$L$11:$L$46, "&lt;&gt;No data found")</f>
        <v>3</v>
      </c>
      <c r="D59" s="3" t="s">
        <v>421</v>
      </c>
      <c r="E59" s="21">
        <f t="shared" ref="E59:E65" si="5">SUMIFS($D$11:$D$46,$C$11:$C$46,$B59,$L$11:$L$46,"&lt;&gt;No data found")</f>
        <v>873123.01</v>
      </c>
      <c r="F59" s="21">
        <f t="shared" ref="F59:F65" si="6">SUMIFS($I$11:$I$46,$C$11:$C$46,B59,$L$11:$L$46,"&lt;&gt;No data found")</f>
        <v>342809.7303369994</v>
      </c>
      <c r="G59" s="64">
        <f t="shared" ref="G59:G65" si="7">F59/E59</f>
        <v>0.39262478071331486</v>
      </c>
    </row>
    <row r="60" spans="2:18" ht="25" x14ac:dyDescent="0.25">
      <c r="B60" s="17" t="s">
        <v>142</v>
      </c>
      <c r="C60" s="21">
        <f t="shared" si="4"/>
        <v>5</v>
      </c>
      <c r="D60" s="3" t="s">
        <v>362</v>
      </c>
      <c r="E60" s="21">
        <f t="shared" si="5"/>
        <v>20413117.489999998</v>
      </c>
      <c r="F60" s="21">
        <f t="shared" si="6"/>
        <v>5448296.1790969837</v>
      </c>
      <c r="G60" s="64">
        <f t="shared" si="7"/>
        <v>0.26690172051211686</v>
      </c>
    </row>
    <row r="61" spans="2:18" ht="37.5" x14ac:dyDescent="0.25">
      <c r="B61" s="17" t="s">
        <v>150</v>
      </c>
      <c r="C61" s="21">
        <f t="shared" si="4"/>
        <v>9</v>
      </c>
      <c r="D61" s="3" t="s">
        <v>360</v>
      </c>
      <c r="E61" s="21">
        <f t="shared" si="5"/>
        <v>49525749.740000002</v>
      </c>
      <c r="F61" s="21">
        <f t="shared" si="6"/>
        <v>21657710.269809678</v>
      </c>
      <c r="G61" s="64">
        <f t="shared" si="7"/>
        <v>0.4373020173042953</v>
      </c>
    </row>
    <row r="62" spans="2:18" ht="25" x14ac:dyDescent="0.25">
      <c r="B62" s="17" t="s">
        <v>133</v>
      </c>
      <c r="C62" s="21">
        <f t="shared" si="4"/>
        <v>2</v>
      </c>
      <c r="D62" s="3" t="s">
        <v>362</v>
      </c>
      <c r="E62" s="21">
        <f t="shared" si="5"/>
        <v>13063816.640000001</v>
      </c>
      <c r="F62" s="21">
        <f t="shared" si="6"/>
        <v>4360908.6415823288</v>
      </c>
      <c r="G62" s="64">
        <f t="shared" si="7"/>
        <v>0.33381581828312684</v>
      </c>
    </row>
    <row r="63" spans="2:18" ht="37.5" x14ac:dyDescent="0.25">
      <c r="B63" s="17" t="s">
        <v>304</v>
      </c>
      <c r="C63" s="21">
        <f t="shared" si="4"/>
        <v>2</v>
      </c>
      <c r="D63" s="3" t="s">
        <v>422</v>
      </c>
      <c r="E63" s="21">
        <f t="shared" si="5"/>
        <v>3310379.82</v>
      </c>
      <c r="F63" s="21">
        <f t="shared" si="6"/>
        <v>707223.32257429441</v>
      </c>
      <c r="G63" s="64">
        <f t="shared" si="7"/>
        <v>0.21363812040586161</v>
      </c>
    </row>
    <row r="64" spans="2:18" ht="37.5" x14ac:dyDescent="0.25">
      <c r="B64" s="17" t="s">
        <v>145</v>
      </c>
      <c r="C64" s="21">
        <f t="shared" si="4"/>
        <v>1</v>
      </c>
      <c r="D64" s="3" t="s">
        <v>422</v>
      </c>
      <c r="E64" s="21">
        <f t="shared" si="5"/>
        <v>6742763.29</v>
      </c>
      <c r="F64" s="21">
        <f t="shared" si="6"/>
        <v>4045657.9739999999</v>
      </c>
      <c r="G64" s="64">
        <f t="shared" si="7"/>
        <v>0.6</v>
      </c>
    </row>
    <row r="65" spans="2:7" ht="37.5" x14ac:dyDescent="0.25">
      <c r="B65" s="17" t="s">
        <v>129</v>
      </c>
      <c r="C65" s="21">
        <f t="shared" si="4"/>
        <v>3</v>
      </c>
      <c r="D65" s="3" t="s">
        <v>422</v>
      </c>
      <c r="E65" s="21">
        <f t="shared" si="5"/>
        <v>23711076.670000002</v>
      </c>
      <c r="F65" s="21">
        <f t="shared" si="6"/>
        <v>15763531.691867972</v>
      </c>
      <c r="G65" s="64">
        <f t="shared" si="7"/>
        <v>0.6648172038434883</v>
      </c>
    </row>
  </sheetData>
  <autoFilter ref="B10:P45" xr:uid="{CCB21465-7A21-4023-B047-40479CAF49ED}"/>
  <mergeCells count="13">
    <mergeCell ref="O48:P48"/>
    <mergeCell ref="B52:C52"/>
    <mergeCell ref="B48:C48"/>
    <mergeCell ref="B49:C49"/>
    <mergeCell ref="B50:C50"/>
    <mergeCell ref="B51:C51"/>
    <mergeCell ref="D9:M9"/>
    <mergeCell ref="C2:D2"/>
    <mergeCell ref="C7:D7"/>
    <mergeCell ref="C6:D6"/>
    <mergeCell ref="C5:D5"/>
    <mergeCell ref="C4:D4"/>
    <mergeCell ref="C3:D3"/>
  </mergeCells>
  <conditionalFormatting sqref="L11:L45">
    <cfRule type="cellIs" dxfId="6" priority="1" operator="equal">
      <formula>"Green "</formula>
    </cfRule>
    <cfRule type="cellIs" dxfId="5" priority="2" operator="equal">
      <formula>"Red"</formula>
    </cfRule>
    <cfRule type="cellIs" dxfId="4" priority="3" operator="equal">
      <formula>"Amber"</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33B69-0632-4409-8CFA-B1D1B50BA2D3}">
  <sheetPr>
    <tabColor rgb="FFFFC000"/>
  </sheetPr>
  <dimension ref="A2:R65"/>
  <sheetViews>
    <sheetView topLeftCell="A44" workbookViewId="0">
      <selection activeCell="F54" sqref="F54"/>
    </sheetView>
  </sheetViews>
  <sheetFormatPr baseColWidth="10" defaultColWidth="8.81640625" defaultRowHeight="12.5" x14ac:dyDescent="0.25"/>
  <cols>
    <col min="2" max="2" width="15.453125" customWidth="1"/>
    <col min="3" max="4" width="21.81640625" customWidth="1"/>
    <col min="5" max="5" width="21.81640625" style="48" customWidth="1"/>
    <col min="6" max="6" width="23.453125" customWidth="1"/>
    <col min="7" max="7" width="23.81640625" customWidth="1"/>
    <col min="8" max="8" width="21.81640625" style="48" customWidth="1"/>
    <col min="9" max="9" width="21.81640625" customWidth="1"/>
    <col min="10" max="10" width="21.81640625" style="48" customWidth="1"/>
    <col min="11" max="12" width="21.81640625" customWidth="1"/>
    <col min="13" max="13" width="32.1796875" customWidth="1"/>
    <col min="14" max="14" width="10.453125" customWidth="1"/>
    <col min="15" max="15" width="14.1796875" customWidth="1"/>
    <col min="16" max="16" width="21.81640625" customWidth="1"/>
    <col min="17" max="17" width="21.81640625" style="48" customWidth="1"/>
    <col min="18" max="18" width="25.453125" customWidth="1"/>
    <col min="19" max="19" width="27.453125" customWidth="1"/>
    <col min="20" max="20" width="17.1796875" customWidth="1"/>
    <col min="26" max="26" width="10.453125" bestFit="1" customWidth="1"/>
    <col min="28" max="28" width="13" bestFit="1" customWidth="1"/>
    <col min="29" max="29" width="15.1796875" customWidth="1"/>
  </cols>
  <sheetData>
    <row r="2" spans="2:18" x14ac:dyDescent="0.25">
      <c r="B2" s="1" t="s">
        <v>14</v>
      </c>
      <c r="C2" s="128" t="s">
        <v>5</v>
      </c>
      <c r="D2" s="128"/>
    </row>
    <row r="3" spans="2:18" x14ac:dyDescent="0.25">
      <c r="B3" s="31"/>
      <c r="C3" s="151" t="s">
        <v>15</v>
      </c>
      <c r="D3" s="151"/>
    </row>
    <row r="4" spans="2:18" x14ac:dyDescent="0.25">
      <c r="B4" s="21"/>
      <c r="C4" s="151" t="s">
        <v>16</v>
      </c>
      <c r="D4" s="151"/>
    </row>
    <row r="5" spans="2:18" x14ac:dyDescent="0.25">
      <c r="B5" s="33"/>
      <c r="C5" s="151" t="s">
        <v>17</v>
      </c>
      <c r="D5" s="151"/>
      <c r="F5" s="36"/>
      <c r="G5" s="36"/>
      <c r="I5" s="36"/>
    </row>
    <row r="6" spans="2:18" x14ac:dyDescent="0.25">
      <c r="B6" s="38"/>
      <c r="C6" s="151" t="s">
        <v>18</v>
      </c>
      <c r="D6" s="151"/>
      <c r="F6" s="36"/>
      <c r="G6" s="36"/>
      <c r="K6" s="5"/>
    </row>
    <row r="7" spans="2:18" x14ac:dyDescent="0.25">
      <c r="B7" s="41"/>
      <c r="C7" s="151" t="s">
        <v>19</v>
      </c>
      <c r="D7" s="151"/>
      <c r="F7" s="36"/>
      <c r="G7" s="36"/>
    </row>
    <row r="9" spans="2:18" ht="24.5" x14ac:dyDescent="0.25">
      <c r="D9" s="126" t="s">
        <v>10</v>
      </c>
      <c r="E9" s="127"/>
      <c r="F9" s="127"/>
      <c r="G9" s="127"/>
      <c r="H9" s="127"/>
      <c r="I9" s="127"/>
      <c r="J9" s="127"/>
      <c r="K9" s="127"/>
      <c r="L9" s="127"/>
      <c r="M9" s="127"/>
    </row>
    <row r="10" spans="2:18" ht="65.25" customHeight="1" x14ac:dyDescent="0.25">
      <c r="B10" s="2" t="s">
        <v>51</v>
      </c>
      <c r="C10" s="2" t="s">
        <v>267</v>
      </c>
      <c r="D10" s="2" t="s">
        <v>365</v>
      </c>
      <c r="E10" s="86" t="s">
        <v>268</v>
      </c>
      <c r="F10" s="2" t="s">
        <v>269</v>
      </c>
      <c r="G10" s="2" t="s">
        <v>270</v>
      </c>
      <c r="H10" s="86" t="s">
        <v>271</v>
      </c>
      <c r="I10" s="2" t="s">
        <v>272</v>
      </c>
      <c r="J10" s="86" t="s">
        <v>273</v>
      </c>
      <c r="K10" s="2" t="s">
        <v>274</v>
      </c>
      <c r="L10" s="2" t="s">
        <v>20</v>
      </c>
      <c r="M10" s="2" t="s">
        <v>275</v>
      </c>
      <c r="O10" s="2" t="s">
        <v>276</v>
      </c>
      <c r="P10" s="2" t="s">
        <v>277</v>
      </c>
      <c r="Q10" s="86" t="s">
        <v>278</v>
      </c>
      <c r="R10" s="2" t="s">
        <v>92</v>
      </c>
    </row>
    <row r="11" spans="2:18" ht="75" x14ac:dyDescent="0.25">
      <c r="B11" s="17" t="s">
        <v>279</v>
      </c>
      <c r="C11" s="17" t="s">
        <v>280</v>
      </c>
      <c r="D11" s="57">
        <v>143332.07999999999</v>
      </c>
      <c r="E11" s="116" t="s">
        <v>281</v>
      </c>
      <c r="F11" s="79" t="s">
        <v>282</v>
      </c>
      <c r="G11" s="79" t="s">
        <v>282</v>
      </c>
      <c r="H11" s="113">
        <f>G59</f>
        <v>0.49510593214764637</v>
      </c>
      <c r="I11" s="21">
        <f>H11*D11</f>
        <v>70964.563075061014</v>
      </c>
      <c r="J11" s="64">
        <f>K11/D11</f>
        <v>0.40351133470033179</v>
      </c>
      <c r="K11" s="52">
        <f>I11*(O11*(1-Assumptions!$C$40)+P11*(1-Assumptions!$D$40))</f>
        <v>57836.118906174728</v>
      </c>
      <c r="L11" s="3" t="s">
        <v>283</v>
      </c>
      <c r="M11" s="3" t="s">
        <v>284</v>
      </c>
      <c r="O11" s="23">
        <v>1</v>
      </c>
      <c r="P11" s="23">
        <f t="shared" ref="P11:P45" si="0">1-O11</f>
        <v>0</v>
      </c>
      <c r="Q11" s="61">
        <f t="shared" ref="Q11:Q45" si="1">(I11-K11)/I11</f>
        <v>0.18499999999999997</v>
      </c>
      <c r="R11" s="3" t="s">
        <v>285</v>
      </c>
    </row>
    <row r="12" spans="2:18" ht="100" x14ac:dyDescent="0.25">
      <c r="B12" s="17" t="s">
        <v>286</v>
      </c>
      <c r="C12" s="17" t="s">
        <v>142</v>
      </c>
      <c r="D12" s="57">
        <v>197379.56</v>
      </c>
      <c r="E12" s="54">
        <f>Sources!J15</f>
        <v>0.24</v>
      </c>
      <c r="F12" s="98" t="s">
        <v>423</v>
      </c>
      <c r="G12" s="79" t="s">
        <v>296</v>
      </c>
      <c r="H12" s="54">
        <f>Sources!J15</f>
        <v>0.24</v>
      </c>
      <c r="I12" s="21">
        <f>H12*D12</f>
        <v>47371.094399999994</v>
      </c>
      <c r="J12" s="64">
        <f>K12/D12</f>
        <v>0.19559999999999997</v>
      </c>
      <c r="K12" s="52">
        <f>I12*(O12*(1-Assumptions!$C$40)+P12*(1-Assumptions!$D$40))</f>
        <v>38607.441935999996</v>
      </c>
      <c r="L12" s="3" t="s">
        <v>25</v>
      </c>
      <c r="M12" s="3" t="s">
        <v>424</v>
      </c>
      <c r="O12" s="23">
        <v>1</v>
      </c>
      <c r="P12" s="23">
        <f t="shared" si="0"/>
        <v>0</v>
      </c>
      <c r="Q12" s="61">
        <f t="shared" si="1"/>
        <v>0.185</v>
      </c>
      <c r="R12" s="3" t="s">
        <v>285</v>
      </c>
    </row>
    <row r="13" spans="2:18" ht="187.5" x14ac:dyDescent="0.25">
      <c r="B13" s="17" t="s">
        <v>161</v>
      </c>
      <c r="C13" s="17" t="s">
        <v>150</v>
      </c>
      <c r="D13" s="57">
        <v>75798.53</v>
      </c>
      <c r="E13" s="117" t="s">
        <v>425</v>
      </c>
      <c r="F13" s="96" t="s">
        <v>426</v>
      </c>
      <c r="G13" s="96" t="s">
        <v>281</v>
      </c>
      <c r="H13" s="64">
        <f>I13/D13</f>
        <v>0.72446810820460739</v>
      </c>
      <c r="I13" s="38">
        <f>K13/(O13*(1-Assumptions!$C$40)+P13*(1-Assumptions!$D$40))</f>
        <v>54913.617633790178</v>
      </c>
      <c r="J13" s="54">
        <f>Sources!P18</f>
        <v>0.57352941176470584</v>
      </c>
      <c r="K13" s="21">
        <f>J13*D13</f>
        <v>43472.686323529408</v>
      </c>
      <c r="L13" s="3" t="s">
        <v>30</v>
      </c>
      <c r="M13" s="3" t="s">
        <v>427</v>
      </c>
      <c r="O13" s="64">
        <f>Assumptions!I108</f>
        <v>0.7857142857142857</v>
      </c>
      <c r="P13" s="64">
        <f t="shared" si="0"/>
        <v>0.2142857142857143</v>
      </c>
      <c r="Q13" s="61">
        <f t="shared" si="1"/>
        <v>0.20834415584415594</v>
      </c>
      <c r="R13" s="3"/>
    </row>
    <row r="14" spans="2:18" ht="125" x14ac:dyDescent="0.25">
      <c r="B14" s="17" t="s">
        <v>60</v>
      </c>
      <c r="C14" s="17" t="s">
        <v>142</v>
      </c>
      <c r="D14" s="57">
        <v>440346.1</v>
      </c>
      <c r="E14" s="80" t="s">
        <v>281</v>
      </c>
      <c r="F14" s="94" t="s">
        <v>428</v>
      </c>
      <c r="G14" s="79" t="s">
        <v>296</v>
      </c>
      <c r="H14" s="61">
        <f>Sources!P12</f>
        <v>0.93108579819373904</v>
      </c>
      <c r="I14" s="21">
        <f t="shared" ref="I14:I37" si="2">H14*D14</f>
        <v>410000</v>
      </c>
      <c r="J14" s="64">
        <f>K14/D14</f>
        <v>0.75883492552789733</v>
      </c>
      <c r="K14" s="52">
        <f>I14*(O14*(1-Assumptions!$C$40)+P14*(1-Assumptions!$D$40))</f>
        <v>334150</v>
      </c>
      <c r="L14" s="3" t="s">
        <v>30</v>
      </c>
      <c r="M14" s="3" t="s">
        <v>429</v>
      </c>
      <c r="O14" s="23">
        <v>1</v>
      </c>
      <c r="P14" s="23">
        <f t="shared" si="0"/>
        <v>0</v>
      </c>
      <c r="Q14" s="61">
        <f t="shared" si="1"/>
        <v>0.185</v>
      </c>
      <c r="R14" s="24" t="s">
        <v>290</v>
      </c>
    </row>
    <row r="15" spans="2:18" ht="37.5" x14ac:dyDescent="0.25">
      <c r="B15" s="17" t="s">
        <v>291</v>
      </c>
      <c r="C15" s="17" t="s">
        <v>150</v>
      </c>
      <c r="D15" s="57">
        <v>25048.81</v>
      </c>
      <c r="E15" s="80" t="s">
        <v>281</v>
      </c>
      <c r="F15" s="79" t="s">
        <v>282</v>
      </c>
      <c r="G15" s="79" t="s">
        <v>282</v>
      </c>
      <c r="H15" s="114">
        <f>G61</f>
        <v>0.69616189884904978</v>
      </c>
      <c r="I15" s="21">
        <f t="shared" si="2"/>
        <v>17438.027133509069</v>
      </c>
      <c r="J15" s="64">
        <f>K15/D15</f>
        <v>0.56737194756197562</v>
      </c>
      <c r="K15" s="52">
        <f>I15*(O15*(1-Assumptions!$C$40)+P15*(1-Assumptions!$D$40))</f>
        <v>14211.992113809893</v>
      </c>
      <c r="L15" s="3" t="s">
        <v>283</v>
      </c>
      <c r="M15" s="3" t="s">
        <v>430</v>
      </c>
      <c r="O15" s="23">
        <v>1</v>
      </c>
      <c r="P15" s="23">
        <f t="shared" si="0"/>
        <v>0</v>
      </c>
      <c r="Q15" s="61">
        <f t="shared" si="1"/>
        <v>0.18499999999999994</v>
      </c>
      <c r="R15" s="3" t="s">
        <v>285</v>
      </c>
    </row>
    <row r="16" spans="2:18" ht="275" x14ac:dyDescent="0.25">
      <c r="B16" s="17" t="s">
        <v>137</v>
      </c>
      <c r="C16" s="17" t="s">
        <v>133</v>
      </c>
      <c r="D16" s="57">
        <v>179055.46</v>
      </c>
      <c r="E16" s="54">
        <f>Sources!P19</f>
        <v>0.52</v>
      </c>
      <c r="F16" s="98" t="s">
        <v>431</v>
      </c>
      <c r="G16" s="98" t="s">
        <v>281</v>
      </c>
      <c r="H16" s="54">
        <f>Sources!J19</f>
        <v>0.65</v>
      </c>
      <c r="I16" s="21">
        <f t="shared" si="2"/>
        <v>116386.049</v>
      </c>
      <c r="J16" s="54">
        <f>Sources!P19</f>
        <v>0.52</v>
      </c>
      <c r="K16" s="21">
        <f>J16*D16</f>
        <v>93108.839200000002</v>
      </c>
      <c r="L16" s="3" t="s">
        <v>432</v>
      </c>
      <c r="M16" s="3" t="s">
        <v>433</v>
      </c>
      <c r="O16" s="64">
        <f>Assumptions!V135</f>
        <v>0.943900355937493</v>
      </c>
      <c r="P16" s="64">
        <f t="shared" si="0"/>
        <v>5.6099644062507004E-2</v>
      </c>
      <c r="Q16" s="61">
        <f t="shared" si="1"/>
        <v>0.19999999999999998</v>
      </c>
      <c r="R16" s="3" t="s">
        <v>294</v>
      </c>
    </row>
    <row r="17" spans="2:18" ht="237.5" x14ac:dyDescent="0.25">
      <c r="B17" s="17" t="s">
        <v>141</v>
      </c>
      <c r="C17" s="17" t="s">
        <v>142</v>
      </c>
      <c r="D17" s="57">
        <v>65910.720000000001</v>
      </c>
      <c r="E17" s="54">
        <f>Sources!P22</f>
        <v>0.19</v>
      </c>
      <c r="F17" s="79" t="s">
        <v>434</v>
      </c>
      <c r="G17" s="79" t="s">
        <v>281</v>
      </c>
      <c r="H17" s="54">
        <f>Sources!J22</f>
        <v>0.28899999999999998</v>
      </c>
      <c r="I17" s="21">
        <f t="shared" si="2"/>
        <v>19048.198079999998</v>
      </c>
      <c r="J17" s="54">
        <f>Sources!P22</f>
        <v>0.19</v>
      </c>
      <c r="K17" s="21">
        <f>J17*D17</f>
        <v>12523.0368</v>
      </c>
      <c r="L17" s="3" t="s">
        <v>25</v>
      </c>
      <c r="M17" s="3" t="s">
        <v>297</v>
      </c>
      <c r="O17" s="23">
        <v>1</v>
      </c>
      <c r="P17" s="23">
        <f t="shared" si="0"/>
        <v>0</v>
      </c>
      <c r="Q17" s="61">
        <f t="shared" si="1"/>
        <v>0.34256055363321797</v>
      </c>
      <c r="R17" s="3" t="s">
        <v>298</v>
      </c>
    </row>
    <row r="18" spans="2:18" ht="100" x14ac:dyDescent="0.25">
      <c r="B18" s="17" t="s">
        <v>45</v>
      </c>
      <c r="C18" s="17" t="s">
        <v>150</v>
      </c>
      <c r="D18" s="57">
        <v>3536993</v>
      </c>
      <c r="E18" s="54">
        <f>Sources!J25</f>
        <v>0.75</v>
      </c>
      <c r="F18" s="79" t="s">
        <v>299</v>
      </c>
      <c r="G18" s="79" t="s">
        <v>296</v>
      </c>
      <c r="H18" s="54">
        <f>Sources!J25</f>
        <v>0.75</v>
      </c>
      <c r="I18" s="21">
        <f t="shared" si="2"/>
        <v>2652744.75</v>
      </c>
      <c r="J18" s="64">
        <f>K18/D18</f>
        <v>0.61124999999999996</v>
      </c>
      <c r="K18" s="52">
        <f>I18*(O18*(1-Assumptions!$C$40)+P18*(1-Assumptions!$D$40))</f>
        <v>2161986.9712499999</v>
      </c>
      <c r="L18" s="3" t="s">
        <v>25</v>
      </c>
      <c r="M18" s="3" t="s">
        <v>435</v>
      </c>
      <c r="O18" s="23">
        <v>1</v>
      </c>
      <c r="P18" s="23">
        <f t="shared" si="0"/>
        <v>0</v>
      </c>
      <c r="Q18" s="61">
        <f t="shared" si="1"/>
        <v>0.18500000000000003</v>
      </c>
      <c r="R18" s="3" t="s">
        <v>298</v>
      </c>
    </row>
    <row r="19" spans="2:18" ht="125" x14ac:dyDescent="0.25">
      <c r="B19" s="17" t="s">
        <v>300</v>
      </c>
      <c r="C19" s="17" t="s">
        <v>142</v>
      </c>
      <c r="D19" s="57">
        <v>119212.02</v>
      </c>
      <c r="E19" s="54">
        <f>Sources!J29</f>
        <v>0.3</v>
      </c>
      <c r="F19" s="79" t="s">
        <v>323</v>
      </c>
      <c r="G19" s="79" t="s">
        <v>296</v>
      </c>
      <c r="H19" s="54">
        <f>Sources!J29</f>
        <v>0.3</v>
      </c>
      <c r="I19" s="21">
        <f t="shared" si="2"/>
        <v>35763.606</v>
      </c>
      <c r="J19" s="64">
        <f>K19/D19</f>
        <v>0.24450000000000002</v>
      </c>
      <c r="K19" s="52">
        <f>I19*(O19*(1-Assumptions!$C$40)+P19*(1-Assumptions!$D$40))</f>
        <v>29147.338890000003</v>
      </c>
      <c r="L19" s="3" t="s">
        <v>25</v>
      </c>
      <c r="M19" s="3" t="s">
        <v>436</v>
      </c>
      <c r="O19" s="23">
        <v>1</v>
      </c>
      <c r="P19" s="23">
        <f t="shared" si="0"/>
        <v>0</v>
      </c>
      <c r="Q19" s="61">
        <f t="shared" si="1"/>
        <v>0.18499999999999991</v>
      </c>
      <c r="R19" s="3" t="s">
        <v>298</v>
      </c>
    </row>
    <row r="20" spans="2:18" ht="100" x14ac:dyDescent="0.25">
      <c r="B20" s="17" t="s">
        <v>301</v>
      </c>
      <c r="C20" s="17" t="s">
        <v>280</v>
      </c>
      <c r="D20" s="57">
        <v>101192.76</v>
      </c>
      <c r="E20" s="54">
        <f>Sources!J32</f>
        <v>0.43</v>
      </c>
      <c r="F20" s="94" t="s">
        <v>437</v>
      </c>
      <c r="G20" s="79" t="s">
        <v>296</v>
      </c>
      <c r="H20" s="54">
        <f>Sources!J32</f>
        <v>0.43</v>
      </c>
      <c r="I20" s="21">
        <f t="shared" si="2"/>
        <v>43512.8868</v>
      </c>
      <c r="J20" s="64">
        <f>K20/D20</f>
        <v>0.35045000000000004</v>
      </c>
      <c r="K20" s="52">
        <f>I20*(O20*(1-Assumptions!$C$40)+P20*(1-Assumptions!$D$40))</f>
        <v>35463.002742000004</v>
      </c>
      <c r="L20" s="3" t="s">
        <v>25</v>
      </c>
      <c r="M20" s="3" t="s">
        <v>438</v>
      </c>
      <c r="O20" s="23">
        <v>1</v>
      </c>
      <c r="P20" s="23">
        <f t="shared" si="0"/>
        <v>0</v>
      </c>
      <c r="Q20" s="61">
        <f t="shared" si="1"/>
        <v>0.18499999999999991</v>
      </c>
      <c r="R20" s="3" t="s">
        <v>298</v>
      </c>
    </row>
    <row r="21" spans="2:18" ht="100" x14ac:dyDescent="0.25">
      <c r="B21" s="17" t="s">
        <v>303</v>
      </c>
      <c r="C21" s="17" t="s">
        <v>304</v>
      </c>
      <c r="D21" s="57">
        <v>13651.58</v>
      </c>
      <c r="E21" s="54" t="s">
        <v>439</v>
      </c>
      <c r="F21" s="94" t="s">
        <v>440</v>
      </c>
      <c r="G21" s="79" t="s">
        <v>296</v>
      </c>
      <c r="H21" s="54">
        <f>Sources!P104</f>
        <v>0.35</v>
      </c>
      <c r="I21" s="21">
        <f t="shared" si="2"/>
        <v>4778.0529999999999</v>
      </c>
      <c r="J21" s="64">
        <f>K21/D21</f>
        <v>0.28525</v>
      </c>
      <c r="K21" s="52">
        <f>I21*(O21*(1-Assumptions!$C$40)+P21*(1-Assumptions!$D$40))</f>
        <v>3894.1131950000004</v>
      </c>
      <c r="L21" s="3" t="s">
        <v>25</v>
      </c>
      <c r="M21" s="3" t="s">
        <v>441</v>
      </c>
      <c r="O21" s="23">
        <v>1</v>
      </c>
      <c r="P21" s="23">
        <f t="shared" si="0"/>
        <v>0</v>
      </c>
      <c r="Q21" s="61">
        <f t="shared" si="1"/>
        <v>0.18499999999999991</v>
      </c>
      <c r="R21" s="3"/>
    </row>
    <row r="22" spans="2:18" ht="112.5" x14ac:dyDescent="0.25">
      <c r="B22" s="17" t="s">
        <v>44</v>
      </c>
      <c r="C22" s="17" t="s">
        <v>129</v>
      </c>
      <c r="D22" s="62">
        <f>Assumptions!E23</f>
        <v>3110000</v>
      </c>
      <c r="E22" s="54">
        <f>Sources!J83</f>
        <v>0.75</v>
      </c>
      <c r="F22" s="97" t="s">
        <v>442</v>
      </c>
      <c r="G22" s="79" t="s">
        <v>296</v>
      </c>
      <c r="H22" s="112">
        <f>Sources!J83</f>
        <v>0.75</v>
      </c>
      <c r="I22" s="21">
        <f t="shared" si="2"/>
        <v>2332500</v>
      </c>
      <c r="J22" s="64">
        <f>K22/D22</f>
        <v>0.52973977695167296</v>
      </c>
      <c r="K22" s="52">
        <f>I22*(O22*(1-Assumptions!$H$76)+P22*(1-Assumptions!$H$76))</f>
        <v>1647490.7063197028</v>
      </c>
      <c r="L22" s="3" t="s">
        <v>432</v>
      </c>
      <c r="M22" s="3" t="s">
        <v>443</v>
      </c>
      <c r="O22" s="64">
        <f>Assumptions!AK147</f>
        <v>0.90947427742998455</v>
      </c>
      <c r="P22" s="64">
        <f t="shared" si="0"/>
        <v>9.0525722570015454E-2</v>
      </c>
      <c r="Q22" s="61">
        <f t="shared" si="1"/>
        <v>0.29368029739776946</v>
      </c>
      <c r="R22" s="3"/>
    </row>
    <row r="23" spans="2:18" ht="87.5" x14ac:dyDescent="0.25">
      <c r="B23" s="17" t="s">
        <v>144</v>
      </c>
      <c r="C23" s="17" t="s">
        <v>145</v>
      </c>
      <c r="D23" s="57">
        <v>938668.92</v>
      </c>
      <c r="E23" s="54">
        <f>Sources!P35</f>
        <v>0.64</v>
      </c>
      <c r="F23" s="94" t="s">
        <v>444</v>
      </c>
      <c r="G23" s="94" t="s">
        <v>281</v>
      </c>
      <c r="H23" s="112">
        <f>Sources!J35</f>
        <v>0.8</v>
      </c>
      <c r="I23" s="21">
        <f t="shared" si="2"/>
        <v>750935.13600000006</v>
      </c>
      <c r="J23" s="54">
        <f>Sources!P35</f>
        <v>0.64</v>
      </c>
      <c r="K23" s="21">
        <f>J23*D23</f>
        <v>600748.10880000005</v>
      </c>
      <c r="L23" s="3" t="s">
        <v>432</v>
      </c>
      <c r="M23" s="3" t="s">
        <v>445</v>
      </c>
      <c r="O23" s="23">
        <v>1</v>
      </c>
      <c r="P23" s="23">
        <f t="shared" si="0"/>
        <v>0</v>
      </c>
      <c r="Q23" s="61">
        <f t="shared" si="1"/>
        <v>0.2</v>
      </c>
      <c r="R23" s="3" t="s">
        <v>298</v>
      </c>
    </row>
    <row r="24" spans="2:18" ht="100" x14ac:dyDescent="0.25">
      <c r="B24" s="17" t="s">
        <v>307</v>
      </c>
      <c r="C24" s="17" t="s">
        <v>150</v>
      </c>
      <c r="D24" s="57">
        <v>277535.43</v>
      </c>
      <c r="E24" s="54">
        <f>Sources!J38</f>
        <v>0.22</v>
      </c>
      <c r="F24" s="94" t="s">
        <v>446</v>
      </c>
      <c r="G24" s="79" t="s">
        <v>296</v>
      </c>
      <c r="H24" s="54">
        <f>Sources!J38</f>
        <v>0.22</v>
      </c>
      <c r="I24" s="21">
        <f t="shared" si="2"/>
        <v>61057.794600000001</v>
      </c>
      <c r="J24" s="64">
        <f>K24/D24</f>
        <v>0.17930000000000001</v>
      </c>
      <c r="K24" s="52">
        <f>I24*(O24*(1-Assumptions!$C$40)+P24*(1-Assumptions!$D$40))</f>
        <v>49762.102599000005</v>
      </c>
      <c r="L24" s="3" t="s">
        <v>25</v>
      </c>
      <c r="M24" s="3" t="s">
        <v>447</v>
      </c>
      <c r="O24" s="23">
        <v>1</v>
      </c>
      <c r="P24" s="23">
        <f t="shared" si="0"/>
        <v>0</v>
      </c>
      <c r="Q24" s="61">
        <f t="shared" si="1"/>
        <v>0.18499999999999991</v>
      </c>
      <c r="R24" s="3" t="s">
        <v>298</v>
      </c>
    </row>
    <row r="25" spans="2:18" ht="37.5" x14ac:dyDescent="0.25">
      <c r="B25" s="17" t="s">
        <v>308</v>
      </c>
      <c r="C25" s="17" t="s">
        <v>280</v>
      </c>
      <c r="D25" s="57">
        <v>104024.81</v>
      </c>
      <c r="E25" s="80" t="s">
        <v>281</v>
      </c>
      <c r="F25" s="79" t="s">
        <v>282</v>
      </c>
      <c r="G25" s="79" t="s">
        <v>282</v>
      </c>
      <c r="H25" s="114">
        <f>G59</f>
        <v>0.49510593214764637</v>
      </c>
      <c r="I25" s="21">
        <f t="shared" si="2"/>
        <v>51503.300521531804</v>
      </c>
      <c r="J25" s="64">
        <f>K25/D25</f>
        <v>0.40351133470033179</v>
      </c>
      <c r="K25" s="52">
        <f>I25*(O25*(1-Assumptions!$C$40)+P25*(1-Assumptions!$D$40))</f>
        <v>41975.18992504842</v>
      </c>
      <c r="L25" s="3" t="s">
        <v>283</v>
      </c>
      <c r="M25" s="3" t="s">
        <v>309</v>
      </c>
      <c r="O25" s="23">
        <v>1</v>
      </c>
      <c r="P25" s="23">
        <f t="shared" si="0"/>
        <v>0</v>
      </c>
      <c r="Q25" s="61">
        <f t="shared" si="1"/>
        <v>0.185</v>
      </c>
      <c r="R25" s="3" t="s">
        <v>310</v>
      </c>
    </row>
    <row r="26" spans="2:18" ht="37.5" x14ac:dyDescent="0.25">
      <c r="B26" s="17" t="s">
        <v>311</v>
      </c>
      <c r="C26" s="17" t="s">
        <v>280</v>
      </c>
      <c r="D26" s="57">
        <v>178539.85</v>
      </c>
      <c r="E26" s="80" t="s">
        <v>281</v>
      </c>
      <c r="F26" s="79" t="s">
        <v>282</v>
      </c>
      <c r="G26" s="79" t="s">
        <v>282</v>
      </c>
      <c r="H26" s="114">
        <f>G59</f>
        <v>0.49510593214764637</v>
      </c>
      <c r="I26" s="21">
        <f t="shared" si="2"/>
        <v>88396.138859750965</v>
      </c>
      <c r="J26" s="64">
        <f>K26/D26</f>
        <v>0.40351133470033179</v>
      </c>
      <c r="K26" s="52">
        <f>I26*(O26*(1-Assumptions!$C$40)+P26*(1-Assumptions!$D$40))</f>
        <v>72042.853170697039</v>
      </c>
      <c r="L26" s="3" t="s">
        <v>283</v>
      </c>
      <c r="M26" s="3" t="s">
        <v>312</v>
      </c>
      <c r="O26" s="23">
        <v>1</v>
      </c>
      <c r="P26" s="23">
        <f t="shared" si="0"/>
        <v>0</v>
      </c>
      <c r="Q26" s="61">
        <f t="shared" si="1"/>
        <v>0.18499999999999997</v>
      </c>
      <c r="R26" s="3" t="s">
        <v>310</v>
      </c>
    </row>
    <row r="27" spans="2:18" ht="100" x14ac:dyDescent="0.25">
      <c r="B27" s="17" t="s">
        <v>313</v>
      </c>
      <c r="C27" s="17" t="s">
        <v>280</v>
      </c>
      <c r="D27" s="57">
        <v>35632.559999999998</v>
      </c>
      <c r="E27" s="54">
        <f>Sources!J110</f>
        <v>0.68</v>
      </c>
      <c r="F27" s="79" t="s">
        <v>388</v>
      </c>
      <c r="G27" s="79" t="s">
        <v>296</v>
      </c>
      <c r="H27" s="54">
        <f>Sources!J110</f>
        <v>0.68</v>
      </c>
      <c r="I27" s="21">
        <f t="shared" si="2"/>
        <v>24230.140800000001</v>
      </c>
      <c r="J27" s="64">
        <f>K27/D27</f>
        <v>0.55420000000000014</v>
      </c>
      <c r="K27" s="52">
        <f>I27*(O27*(1-Assumptions!$C$40)+P27*(1-Assumptions!$D$40))</f>
        <v>19747.564752000002</v>
      </c>
      <c r="L27" s="3" t="s">
        <v>25</v>
      </c>
      <c r="M27" s="39" t="s">
        <v>315</v>
      </c>
      <c r="O27" s="23">
        <v>1</v>
      </c>
      <c r="P27" s="23">
        <f t="shared" si="0"/>
        <v>0</v>
      </c>
      <c r="Q27" s="61">
        <f t="shared" si="1"/>
        <v>0.18499999999999994</v>
      </c>
      <c r="R27" s="3" t="s">
        <v>316</v>
      </c>
    </row>
    <row r="28" spans="2:18" ht="112.5" x14ac:dyDescent="0.25">
      <c r="B28" s="17" t="s">
        <v>65</v>
      </c>
      <c r="C28" s="17" t="s">
        <v>150</v>
      </c>
      <c r="D28" s="57">
        <v>603605.43999999994</v>
      </c>
      <c r="E28" s="54">
        <f>Sources!P47</f>
        <v>0.85</v>
      </c>
      <c r="F28" s="94" t="s">
        <v>448</v>
      </c>
      <c r="G28" s="94" t="s">
        <v>281</v>
      </c>
      <c r="H28" s="54">
        <f>Sources!J47</f>
        <v>0.92500000000000004</v>
      </c>
      <c r="I28" s="21">
        <f t="shared" si="2"/>
        <v>558335.03200000001</v>
      </c>
      <c r="J28" s="54">
        <f>Sources!P47</f>
        <v>0.85</v>
      </c>
      <c r="K28" s="21">
        <f>J28*D28</f>
        <v>513064.62399999995</v>
      </c>
      <c r="L28" s="3" t="s">
        <v>432</v>
      </c>
      <c r="M28" s="3" t="s">
        <v>449</v>
      </c>
      <c r="O28" s="23">
        <v>1</v>
      </c>
      <c r="P28" s="23">
        <f t="shared" si="0"/>
        <v>0</v>
      </c>
      <c r="Q28" s="61">
        <f t="shared" si="1"/>
        <v>8.1081081081081183E-2</v>
      </c>
      <c r="R28" s="3" t="s">
        <v>294</v>
      </c>
    </row>
    <row r="29" spans="2:18" ht="100" x14ac:dyDescent="0.25">
      <c r="B29" s="17" t="s">
        <v>318</v>
      </c>
      <c r="C29" s="17" t="s">
        <v>129</v>
      </c>
      <c r="D29" s="57">
        <v>76966.34</v>
      </c>
      <c r="E29" s="54">
        <f>Sources!J50</f>
        <v>0.05</v>
      </c>
      <c r="F29" s="94" t="s">
        <v>450</v>
      </c>
      <c r="G29" s="79" t="s">
        <v>296</v>
      </c>
      <c r="H29" s="54">
        <f>Sources!J50</f>
        <v>0.05</v>
      </c>
      <c r="I29" s="21">
        <f t="shared" si="2"/>
        <v>3848.317</v>
      </c>
      <c r="J29" s="64">
        <f t="shared" ref="J29:J37" si="3">K29/D29</f>
        <v>3.5303030303030301E-2</v>
      </c>
      <c r="K29" s="52">
        <f>I29*(O29*(1-Assumptions!$C$40)+P29*(1-Assumptions!$D$40))</f>
        <v>2717.1450333333332</v>
      </c>
      <c r="L29" s="3" t="s">
        <v>25</v>
      </c>
      <c r="M29" s="3" t="s">
        <v>451</v>
      </c>
      <c r="O29" s="23">
        <v>0</v>
      </c>
      <c r="P29" s="23">
        <f t="shared" si="0"/>
        <v>1</v>
      </c>
      <c r="Q29" s="61">
        <f t="shared" si="1"/>
        <v>0.29393939393939394</v>
      </c>
      <c r="R29" s="3" t="s">
        <v>320</v>
      </c>
    </row>
    <row r="30" spans="2:18" ht="100" x14ac:dyDescent="0.25">
      <c r="B30" s="17" t="s">
        <v>321</v>
      </c>
      <c r="C30" s="17" t="s">
        <v>150</v>
      </c>
      <c r="D30" s="57">
        <v>43792.54</v>
      </c>
      <c r="E30" s="54">
        <f>Sources!J107</f>
        <v>0.16</v>
      </c>
      <c r="F30" s="94" t="s">
        <v>446</v>
      </c>
      <c r="G30" s="79" t="s">
        <v>296</v>
      </c>
      <c r="H30" s="112">
        <f>Sources!J107</f>
        <v>0.16</v>
      </c>
      <c r="I30" s="21">
        <f t="shared" si="2"/>
        <v>7006.8064000000004</v>
      </c>
      <c r="J30" s="64">
        <f t="shared" si="3"/>
        <v>0.13040000000000002</v>
      </c>
      <c r="K30" s="52">
        <f>I30*(O30*(1-Assumptions!$C$40)+P30*(1-Assumptions!$D$40))</f>
        <v>5710.5472160000008</v>
      </c>
      <c r="L30" s="3" t="s">
        <v>25</v>
      </c>
      <c r="M30" s="3" t="s">
        <v>452</v>
      </c>
      <c r="O30" s="23">
        <v>1</v>
      </c>
      <c r="P30" s="23">
        <f t="shared" si="0"/>
        <v>0</v>
      </c>
      <c r="Q30" s="61">
        <f t="shared" si="1"/>
        <v>0.18499999999999991</v>
      </c>
      <c r="R30" s="3" t="s">
        <v>322</v>
      </c>
    </row>
    <row r="31" spans="2:18" ht="100" x14ac:dyDescent="0.25">
      <c r="B31" s="17" t="s">
        <v>242</v>
      </c>
      <c r="C31" s="17" t="s">
        <v>142</v>
      </c>
      <c r="D31" s="57">
        <v>724035.27</v>
      </c>
      <c r="E31" s="54">
        <f>Sources!J53</f>
        <v>0.64</v>
      </c>
      <c r="F31" s="95" t="s">
        <v>453</v>
      </c>
      <c r="G31" s="79" t="s">
        <v>296</v>
      </c>
      <c r="H31" s="54">
        <f>Sources!J53</f>
        <v>0.64</v>
      </c>
      <c r="I31" s="21">
        <f t="shared" si="2"/>
        <v>463382.57280000002</v>
      </c>
      <c r="J31" s="64">
        <f t="shared" si="3"/>
        <v>0.50325231259968106</v>
      </c>
      <c r="K31" s="52">
        <f>I31*(O31*(1-Assumptions!$C$40)+P31*(1-Assumptions!$D$40))</f>
        <v>364372.42403123452</v>
      </c>
      <c r="L31" s="3" t="s">
        <v>30</v>
      </c>
      <c r="M31" s="3" t="s">
        <v>454</v>
      </c>
      <c r="O31" s="64">
        <f>Assumptions!D158</f>
        <v>0.73684210526315785</v>
      </c>
      <c r="P31" s="64">
        <f t="shared" si="0"/>
        <v>0.26315789473684215</v>
      </c>
      <c r="Q31" s="61">
        <f t="shared" si="1"/>
        <v>0.21366826156299829</v>
      </c>
      <c r="R31" s="3" t="s">
        <v>395</v>
      </c>
    </row>
    <row r="32" spans="2:18" ht="100" x14ac:dyDescent="0.25">
      <c r="B32" s="17" t="s">
        <v>324</v>
      </c>
      <c r="C32" s="17" t="s">
        <v>304</v>
      </c>
      <c r="D32" s="57">
        <v>207097.65</v>
      </c>
      <c r="E32" s="54">
        <f>Sources!J80</f>
        <v>0.3</v>
      </c>
      <c r="F32" s="94" t="s">
        <v>455</v>
      </c>
      <c r="G32" s="79" t="s">
        <v>296</v>
      </c>
      <c r="H32" s="54">
        <f>Sources!J80</f>
        <v>0.3</v>
      </c>
      <c r="I32" s="21">
        <f t="shared" si="2"/>
        <v>62129.294999999998</v>
      </c>
      <c r="J32" s="64">
        <f t="shared" si="3"/>
        <v>0.24450000000000002</v>
      </c>
      <c r="K32" s="38">
        <f>I32*(O32*(1-Assumptions!$C$40)+P32*(1-Assumptions!$D$40))</f>
        <v>50635.375425000006</v>
      </c>
      <c r="L32" s="3" t="s">
        <v>25</v>
      </c>
      <c r="M32" s="3" t="s">
        <v>456</v>
      </c>
      <c r="O32" s="23">
        <v>1</v>
      </c>
      <c r="P32" s="23">
        <f t="shared" si="0"/>
        <v>0</v>
      </c>
      <c r="Q32" s="61">
        <f t="shared" si="1"/>
        <v>0.18499999999999989</v>
      </c>
      <c r="R32" s="3" t="s">
        <v>285</v>
      </c>
    </row>
    <row r="33" spans="1:18" ht="100" x14ac:dyDescent="0.25">
      <c r="B33" s="17" t="s">
        <v>154</v>
      </c>
      <c r="C33" s="17" t="s">
        <v>145</v>
      </c>
      <c r="D33" s="57">
        <v>157531.5</v>
      </c>
      <c r="E33" s="54">
        <f>Sources!J89</f>
        <v>0.9</v>
      </c>
      <c r="F33" s="98" t="s">
        <v>457</v>
      </c>
      <c r="G33" s="79" t="s">
        <v>296</v>
      </c>
      <c r="H33" s="54">
        <f>Sources!J89</f>
        <v>0.9</v>
      </c>
      <c r="I33" s="21">
        <f t="shared" si="2"/>
        <v>141778.35</v>
      </c>
      <c r="J33" s="64">
        <f t="shared" si="3"/>
        <v>0.61199999999999999</v>
      </c>
      <c r="K33" s="33">
        <f>I33*68%</f>
        <v>96409.278000000006</v>
      </c>
      <c r="L33" s="3" t="s">
        <v>25</v>
      </c>
      <c r="M33" s="3" t="s">
        <v>458</v>
      </c>
      <c r="O33" s="23">
        <v>1</v>
      </c>
      <c r="P33" s="23">
        <f t="shared" si="0"/>
        <v>0</v>
      </c>
      <c r="Q33" s="61">
        <f t="shared" si="1"/>
        <v>0.32</v>
      </c>
      <c r="R33" s="3" t="s">
        <v>298</v>
      </c>
    </row>
    <row r="34" spans="1:18" ht="100" x14ac:dyDescent="0.25">
      <c r="B34" s="17" t="s">
        <v>325</v>
      </c>
      <c r="C34" s="17" t="s">
        <v>142</v>
      </c>
      <c r="D34" s="57">
        <v>84707.47</v>
      </c>
      <c r="E34" s="54">
        <f>Sources!J71</f>
        <v>0.3</v>
      </c>
      <c r="F34" s="98" t="s">
        <v>459</v>
      </c>
      <c r="G34" s="79" t="s">
        <v>296</v>
      </c>
      <c r="H34" s="54">
        <f>Sources!J71</f>
        <v>0.3</v>
      </c>
      <c r="I34" s="21">
        <f t="shared" si="2"/>
        <v>25412.240999999998</v>
      </c>
      <c r="J34" s="64">
        <f t="shared" si="3"/>
        <v>0.2445</v>
      </c>
      <c r="K34" s="52">
        <f>I34*(O34*(1-Assumptions!$C$40)+P34*(1-Assumptions!$D$40))</f>
        <v>20710.976415000001</v>
      </c>
      <c r="L34" s="3" t="s">
        <v>25</v>
      </c>
      <c r="M34" s="3" t="s">
        <v>460</v>
      </c>
      <c r="O34" s="23">
        <v>1</v>
      </c>
      <c r="P34" s="23">
        <f t="shared" si="0"/>
        <v>0</v>
      </c>
      <c r="Q34" s="61">
        <f t="shared" si="1"/>
        <v>0.18499999999999991</v>
      </c>
      <c r="R34" s="3" t="s">
        <v>298</v>
      </c>
    </row>
    <row r="35" spans="1:18" ht="100" x14ac:dyDescent="0.25">
      <c r="B35" s="17" t="s">
        <v>326</v>
      </c>
      <c r="C35" s="17" t="s">
        <v>150</v>
      </c>
      <c r="D35" s="57">
        <v>140739.47</v>
      </c>
      <c r="E35" s="54">
        <f>Sources!J74</f>
        <v>0.21</v>
      </c>
      <c r="F35" s="94" t="s">
        <v>446</v>
      </c>
      <c r="G35" s="79" t="s">
        <v>296</v>
      </c>
      <c r="H35" s="54">
        <f>Sources!J74</f>
        <v>0.21</v>
      </c>
      <c r="I35" s="21">
        <f t="shared" si="2"/>
        <v>29555.288699999997</v>
      </c>
      <c r="J35" s="64">
        <f t="shared" si="3"/>
        <v>0.17115</v>
      </c>
      <c r="K35" s="52">
        <f>I35*(O35*(1-Assumptions!$C$40)+P35*(1-Assumptions!$D$40))</f>
        <v>24087.560290499998</v>
      </c>
      <c r="L35" s="3" t="s">
        <v>25</v>
      </c>
      <c r="M35" s="3" t="s">
        <v>461</v>
      </c>
      <c r="O35" s="23">
        <v>1</v>
      </c>
      <c r="P35" s="23">
        <f t="shared" si="0"/>
        <v>0</v>
      </c>
      <c r="Q35" s="61">
        <f t="shared" si="1"/>
        <v>0.185</v>
      </c>
      <c r="R35" s="3" t="s">
        <v>462</v>
      </c>
    </row>
    <row r="36" spans="1:18" ht="100" x14ac:dyDescent="0.25">
      <c r="B36" s="17" t="s">
        <v>327</v>
      </c>
      <c r="C36" s="17" t="s">
        <v>129</v>
      </c>
      <c r="D36" s="57">
        <v>368724.39</v>
      </c>
      <c r="E36" s="54">
        <f>Sources!J101</f>
        <v>7.8E-2</v>
      </c>
      <c r="F36" s="98" t="s">
        <v>463</v>
      </c>
      <c r="G36" s="79" t="s">
        <v>296</v>
      </c>
      <c r="H36" s="54">
        <f>Sources!J101</f>
        <v>7.8E-2</v>
      </c>
      <c r="I36" s="21">
        <f t="shared" si="2"/>
        <v>28760.502420000001</v>
      </c>
      <c r="J36" s="64">
        <f t="shared" si="3"/>
        <v>5.5072727272727266E-2</v>
      </c>
      <c r="K36" s="52">
        <f>I36*(O36*(1-Assumptions!$C$40)+P36*(1-Assumptions!$D$40))</f>
        <v>20306.657769272726</v>
      </c>
      <c r="L36" s="3" t="s">
        <v>25</v>
      </c>
      <c r="M36" s="3" t="s">
        <v>464</v>
      </c>
      <c r="O36" s="23">
        <v>0</v>
      </c>
      <c r="P36" s="23">
        <f t="shared" si="0"/>
        <v>1</v>
      </c>
      <c r="Q36" s="61">
        <f t="shared" si="1"/>
        <v>0.293939393939394</v>
      </c>
      <c r="R36" s="3" t="s">
        <v>328</v>
      </c>
    </row>
    <row r="37" spans="1:18" ht="62.5" x14ac:dyDescent="0.25">
      <c r="B37" s="17" t="s">
        <v>329</v>
      </c>
      <c r="C37" s="17" t="s">
        <v>280</v>
      </c>
      <c r="D37" s="57">
        <v>164266.60999999999</v>
      </c>
      <c r="E37" s="80" t="s">
        <v>281</v>
      </c>
      <c r="F37" s="79" t="s">
        <v>282</v>
      </c>
      <c r="G37" s="79" t="s">
        <v>282</v>
      </c>
      <c r="H37" s="113">
        <f>G59</f>
        <v>0.49510593214764637</v>
      </c>
      <c r="I37" s="21">
        <f t="shared" si="2"/>
        <v>81329.373064783882</v>
      </c>
      <c r="J37" s="64">
        <f t="shared" si="3"/>
        <v>0.40351133470033179</v>
      </c>
      <c r="K37" s="52">
        <f>I37*(O37*(1-Assumptions!$C$40)+P37*(1-Assumptions!$D$40))</f>
        <v>66283.439047798864</v>
      </c>
      <c r="L37" s="3" t="s">
        <v>283</v>
      </c>
      <c r="M37" s="3" t="s">
        <v>381</v>
      </c>
      <c r="O37" s="23">
        <v>1</v>
      </c>
      <c r="P37" s="23">
        <f t="shared" si="0"/>
        <v>0</v>
      </c>
      <c r="Q37" s="61">
        <f t="shared" si="1"/>
        <v>0.185</v>
      </c>
      <c r="R37" s="3" t="s">
        <v>331</v>
      </c>
    </row>
    <row r="38" spans="1:18" ht="212.5" x14ac:dyDescent="0.25">
      <c r="B38" s="17" t="s">
        <v>72</v>
      </c>
      <c r="C38" s="17" t="s">
        <v>304</v>
      </c>
      <c r="D38" s="57">
        <v>126504.39</v>
      </c>
      <c r="E38" s="110" t="s">
        <v>465</v>
      </c>
      <c r="F38" s="91" t="s">
        <v>466</v>
      </c>
      <c r="G38" s="91" t="s">
        <v>281</v>
      </c>
      <c r="H38" s="64">
        <f>I38/D38</f>
        <v>0.43385418432023859</v>
      </c>
      <c r="I38" s="38">
        <f>K38/(O38*(1-Assumptions!$C$40)+P38*(1-Assumptions!$D$40))</f>
        <v>54884.458936379349</v>
      </c>
      <c r="J38" s="54">
        <f>Sources!P56</f>
        <v>0.35359116022099446</v>
      </c>
      <c r="K38" s="21">
        <f>J38*D38</f>
        <v>44730.834033149171</v>
      </c>
      <c r="L38" s="3" t="s">
        <v>30</v>
      </c>
      <c r="M38" s="39" t="s">
        <v>467</v>
      </c>
      <c r="O38" s="23">
        <v>1</v>
      </c>
      <c r="P38" s="23">
        <f t="shared" si="0"/>
        <v>0</v>
      </c>
      <c r="Q38" s="61">
        <f t="shared" si="1"/>
        <v>0.18499999999999997</v>
      </c>
      <c r="R38" s="3" t="s">
        <v>298</v>
      </c>
    </row>
    <row r="39" spans="1:18" ht="100" x14ac:dyDescent="0.25">
      <c r="B39" s="17" t="s">
        <v>334</v>
      </c>
      <c r="C39" s="17" t="s">
        <v>150</v>
      </c>
      <c r="D39" s="57">
        <v>154603.1</v>
      </c>
      <c r="E39" s="54">
        <f>Sources!J59</f>
        <v>0.77</v>
      </c>
      <c r="F39" s="79" t="s">
        <v>405</v>
      </c>
      <c r="G39" s="79" t="s">
        <v>296</v>
      </c>
      <c r="H39" s="54">
        <f>Sources!J59</f>
        <v>0.77</v>
      </c>
      <c r="I39" s="21">
        <f t="shared" ref="I39:I45" si="4">H39*D39</f>
        <v>119044.387</v>
      </c>
      <c r="J39" s="64">
        <f>K39/D39</f>
        <v>0.62754999999999994</v>
      </c>
      <c r="K39" s="52">
        <f>I39*(O39*(1-Assumptions!$C$40)+P39*(1-Assumptions!$D$40))</f>
        <v>97021.175405000002</v>
      </c>
      <c r="L39" s="3" t="s">
        <v>432</v>
      </c>
      <c r="M39" s="3" t="s">
        <v>336</v>
      </c>
      <c r="O39" s="23">
        <v>1</v>
      </c>
      <c r="P39" s="23">
        <f t="shared" si="0"/>
        <v>0</v>
      </c>
      <c r="Q39" s="61">
        <f t="shared" si="1"/>
        <v>0.185</v>
      </c>
      <c r="R39" s="3" t="s">
        <v>468</v>
      </c>
    </row>
    <row r="40" spans="1:18" ht="100" x14ac:dyDescent="0.25">
      <c r="B40" s="17" t="s">
        <v>337</v>
      </c>
      <c r="C40" s="17" t="s">
        <v>150</v>
      </c>
      <c r="D40" s="57">
        <v>84517.15</v>
      </c>
      <c r="E40" s="54">
        <f>Sources!J65</f>
        <v>0.93</v>
      </c>
      <c r="F40" s="79" t="s">
        <v>406</v>
      </c>
      <c r="G40" s="79" t="s">
        <v>296</v>
      </c>
      <c r="H40" s="54">
        <f>Sources!J65</f>
        <v>0.93</v>
      </c>
      <c r="I40" s="21">
        <f t="shared" si="4"/>
        <v>78600.949500000002</v>
      </c>
      <c r="J40" s="64">
        <f>K40/D40</f>
        <v>0.65663636363636368</v>
      </c>
      <c r="K40" s="52">
        <f>I40*(O40*(1-Assumptions!$C$40)+P40*(1-Assumptions!$D$40))</f>
        <v>55497.034040909093</v>
      </c>
      <c r="L40" s="3" t="s">
        <v>25</v>
      </c>
      <c r="M40" s="3" t="s">
        <v>407</v>
      </c>
      <c r="O40" s="23">
        <v>0</v>
      </c>
      <c r="P40" s="23">
        <f t="shared" si="0"/>
        <v>1</v>
      </c>
      <c r="Q40" s="61">
        <f t="shared" si="1"/>
        <v>0.29393939393939394</v>
      </c>
      <c r="R40" s="3" t="s">
        <v>469</v>
      </c>
    </row>
    <row r="41" spans="1:18" ht="100" x14ac:dyDescent="0.25">
      <c r="B41" s="17" t="s">
        <v>339</v>
      </c>
      <c r="C41" s="17" t="s">
        <v>150</v>
      </c>
      <c r="D41" s="57">
        <v>295856.95</v>
      </c>
      <c r="E41" s="54">
        <f>Sources!J68</f>
        <v>0.32</v>
      </c>
      <c r="F41" s="94" t="s">
        <v>446</v>
      </c>
      <c r="G41" s="79" t="s">
        <v>296</v>
      </c>
      <c r="H41" s="54">
        <f>Sources!J68</f>
        <v>0.32</v>
      </c>
      <c r="I41" s="21">
        <f t="shared" si="4"/>
        <v>94674.224000000002</v>
      </c>
      <c r="J41" s="64">
        <f>K41/D41</f>
        <v>0.26080000000000003</v>
      </c>
      <c r="K41" s="52">
        <f>I41*(O41*(1-Assumptions!$C$40)+P41*(1-Assumptions!$D$40))</f>
        <v>77159.492560000013</v>
      </c>
      <c r="L41" s="3" t="s">
        <v>25</v>
      </c>
      <c r="M41" s="3" t="s">
        <v>470</v>
      </c>
      <c r="O41" s="23">
        <v>1</v>
      </c>
      <c r="P41" s="23">
        <f t="shared" si="0"/>
        <v>0</v>
      </c>
      <c r="Q41" s="61">
        <f t="shared" si="1"/>
        <v>0.18499999999999989</v>
      </c>
      <c r="R41" s="3" t="s">
        <v>340</v>
      </c>
    </row>
    <row r="42" spans="1:18" ht="150" x14ac:dyDescent="0.25">
      <c r="A42" s="5"/>
      <c r="B42" s="17" t="s">
        <v>411</v>
      </c>
      <c r="C42" s="17" t="s">
        <v>129</v>
      </c>
      <c r="D42" s="57">
        <v>213371.39</v>
      </c>
      <c r="E42" s="117" t="s">
        <v>471</v>
      </c>
      <c r="F42" s="89" t="s">
        <v>472</v>
      </c>
      <c r="G42" s="79" t="s">
        <v>296</v>
      </c>
      <c r="H42" s="54">
        <f>Sources!J62</f>
        <v>0.66481823450624955</v>
      </c>
      <c r="I42" s="21">
        <f t="shared" si="4"/>
        <v>141853.19079394444</v>
      </c>
      <c r="J42" s="64">
        <f>K42/D42</f>
        <v>0.46940196557562469</v>
      </c>
      <c r="K42" s="52">
        <f>I42*(O42*(1-Assumptions!$C$40)+P42*(1-Assumptions!$D$40))</f>
        <v>100156.94986360319</v>
      </c>
      <c r="L42" s="3" t="s">
        <v>25</v>
      </c>
      <c r="M42" s="3" t="s">
        <v>473</v>
      </c>
      <c r="O42" s="23">
        <v>0</v>
      </c>
      <c r="P42" s="23">
        <f t="shared" si="0"/>
        <v>1</v>
      </c>
      <c r="Q42" s="61">
        <f t="shared" si="1"/>
        <v>0.29393939393939394</v>
      </c>
      <c r="R42" s="3"/>
    </row>
    <row r="43" spans="1:18" ht="62.5" x14ac:dyDescent="0.25">
      <c r="A43" s="5"/>
      <c r="B43" s="17" t="s">
        <v>345</v>
      </c>
      <c r="C43" s="17" t="s">
        <v>280</v>
      </c>
      <c r="D43" s="57">
        <v>61899.22</v>
      </c>
      <c r="E43" s="80" t="s">
        <v>281</v>
      </c>
      <c r="F43" s="79" t="s">
        <v>282</v>
      </c>
      <c r="G43" s="79" t="s">
        <v>282</v>
      </c>
      <c r="H43" s="114">
        <f>G59</f>
        <v>0.49510593214764637</v>
      </c>
      <c r="I43" s="21">
        <f t="shared" si="4"/>
        <v>30646.671017312234</v>
      </c>
      <c r="J43" s="64">
        <f>K43/D43</f>
        <v>0.40351133470033179</v>
      </c>
      <c r="K43" s="52">
        <f>I43*(O43*(1-Assumptions!$C$40)+P43*(1-Assumptions!$D$40))</f>
        <v>24977.036879109473</v>
      </c>
      <c r="L43" s="3" t="s">
        <v>283</v>
      </c>
      <c r="M43" s="3" t="s">
        <v>474</v>
      </c>
      <c r="O43" s="23">
        <v>1</v>
      </c>
      <c r="P43" s="23">
        <f t="shared" si="0"/>
        <v>0</v>
      </c>
      <c r="Q43" s="61">
        <f t="shared" si="1"/>
        <v>0.18499999999999991</v>
      </c>
      <c r="R43" s="3"/>
    </row>
    <row r="44" spans="1:18" ht="137.5" x14ac:dyDescent="0.25">
      <c r="B44" s="17" t="s">
        <v>346</v>
      </c>
      <c r="C44" s="17" t="s">
        <v>133</v>
      </c>
      <c r="D44" s="62">
        <f>Assumptions!E24</f>
        <v>2699781.7862399998</v>
      </c>
      <c r="E44" s="54">
        <f>Sources!P77</f>
        <v>0.2</v>
      </c>
      <c r="F44" s="97" t="s">
        <v>475</v>
      </c>
      <c r="G44" s="97" t="s">
        <v>281</v>
      </c>
      <c r="H44" s="54">
        <f>Sources!J77</f>
        <v>0.33</v>
      </c>
      <c r="I44" s="21">
        <f t="shared" si="4"/>
        <v>890927.98945919995</v>
      </c>
      <c r="J44" s="54">
        <f>Sources!P77</f>
        <v>0.2</v>
      </c>
      <c r="K44" s="21">
        <f>J44*D44</f>
        <v>539956.35724799999</v>
      </c>
      <c r="L44" s="3" t="s">
        <v>432</v>
      </c>
      <c r="M44" s="3" t="s">
        <v>476</v>
      </c>
      <c r="O44" s="64">
        <f>Assumptions!U122</f>
        <v>0.22957990840131401</v>
      </c>
      <c r="P44" s="64">
        <f t="shared" si="0"/>
        <v>0.77042009159868596</v>
      </c>
      <c r="Q44" s="61">
        <f t="shared" si="1"/>
        <v>0.39393939393939392</v>
      </c>
      <c r="R44" s="3"/>
    </row>
    <row r="45" spans="1:18" ht="112.5" x14ac:dyDescent="0.25">
      <c r="B45" s="17" t="s">
        <v>348</v>
      </c>
      <c r="C45" s="17" t="s">
        <v>150</v>
      </c>
      <c r="D45" s="57">
        <v>135262.96</v>
      </c>
      <c r="E45" s="54">
        <f>Sources!P7</f>
        <v>0.45</v>
      </c>
      <c r="F45" s="94" t="s">
        <v>477</v>
      </c>
      <c r="G45" s="97" t="s">
        <v>281</v>
      </c>
      <c r="H45" s="54">
        <f>Sources!J7</f>
        <v>0.5</v>
      </c>
      <c r="I45" s="21">
        <f t="shared" si="4"/>
        <v>67631.48</v>
      </c>
      <c r="J45" s="54">
        <f>Sources!P7</f>
        <v>0.45</v>
      </c>
      <c r="K45" s="21">
        <f>J45*D45</f>
        <v>60868.331999999995</v>
      </c>
      <c r="L45" s="3" t="s">
        <v>25</v>
      </c>
      <c r="M45" s="3" t="s">
        <v>478</v>
      </c>
      <c r="O45" s="23">
        <v>1</v>
      </c>
      <c r="P45" s="23">
        <f t="shared" si="0"/>
        <v>0</v>
      </c>
      <c r="Q45" s="61">
        <f t="shared" si="1"/>
        <v>0.10000000000000002</v>
      </c>
      <c r="R45" s="3" t="s">
        <v>298</v>
      </c>
    </row>
    <row r="47" spans="1:18" x14ac:dyDescent="0.25">
      <c r="B47" s="45" t="s">
        <v>350</v>
      </c>
    </row>
    <row r="48" spans="1:18" ht="25.5" customHeight="1" thickBot="1" x14ac:dyDescent="0.3">
      <c r="B48" s="132" t="s">
        <v>813</v>
      </c>
      <c r="C48" s="132"/>
      <c r="D48" s="29">
        <f>SUMIFS(D11:D46,$L11:$L46,"&lt;&gt;No data found")</f>
        <v>15208474.436240003</v>
      </c>
      <c r="E48" s="51"/>
      <c r="F48" s="92"/>
      <c r="G48" s="92"/>
      <c r="H48" s="51">
        <f>I48/D48</f>
        <v>0.61288635164565297</v>
      </c>
      <c r="I48" s="29">
        <f>SUMIFS(I11:I46,L11:L46,"&lt;&gt;No data found")</f>
        <v>9321066.4113233145</v>
      </c>
      <c r="J48" s="51">
        <f>K48/D48</f>
        <v>0.46970567009114994</v>
      </c>
      <c r="K48" s="29">
        <f>SUMIFS(K11:K46,L11:L46,"&lt;&gt;No data found")</f>
        <v>7143506.6761382343</v>
      </c>
      <c r="L48" s="3" t="s">
        <v>351</v>
      </c>
      <c r="M48" s="3" t="s">
        <v>351</v>
      </c>
      <c r="O48" s="131" t="s">
        <v>352</v>
      </c>
      <c r="P48" s="131"/>
      <c r="Q48" s="61">
        <f>(I48-K48)/I48</f>
        <v>0.23361701752706765</v>
      </c>
    </row>
    <row r="49" spans="2:13" ht="42" customHeight="1" thickTop="1" thickBot="1" x14ac:dyDescent="0.3">
      <c r="B49" s="132" t="s">
        <v>814</v>
      </c>
      <c r="C49" s="132"/>
      <c r="D49" s="29">
        <f>SUM(D11:D45)</f>
        <v>15885585.816240001</v>
      </c>
      <c r="E49" s="51"/>
      <c r="F49" s="92"/>
      <c r="G49" s="92"/>
      <c r="H49" s="51">
        <f>I49/D49</f>
        <v>0.60818307846842934</v>
      </c>
      <c r="I49" s="29">
        <f>SUM(I11:I46)</f>
        <v>9661344.4849952608</v>
      </c>
      <c r="J49" s="51">
        <f>K49/D49</f>
        <v>0.46714256509158608</v>
      </c>
      <c r="K49" s="29">
        <f>SUM(K11:K46)</f>
        <v>7420833.3061808711</v>
      </c>
      <c r="L49" s="3" t="s">
        <v>351</v>
      </c>
      <c r="M49" s="3" t="s">
        <v>351</v>
      </c>
    </row>
    <row r="50" spans="2:13" ht="42" customHeight="1" thickTop="1" thickBot="1" x14ac:dyDescent="0.3">
      <c r="B50" s="133" t="s">
        <v>815</v>
      </c>
      <c r="C50" s="133"/>
      <c r="D50" s="29">
        <f>Assumptions!E31</f>
        <v>17338196.016240019</v>
      </c>
      <c r="E50" s="51"/>
      <c r="F50" s="92"/>
      <c r="G50" s="92"/>
      <c r="H50" s="51" t="s">
        <v>351</v>
      </c>
      <c r="I50" s="30" t="s">
        <v>351</v>
      </c>
      <c r="J50" s="51" t="s">
        <v>351</v>
      </c>
      <c r="K50" s="30" t="s">
        <v>351</v>
      </c>
      <c r="L50" s="3" t="s">
        <v>351</v>
      </c>
      <c r="M50" s="3" t="s">
        <v>351</v>
      </c>
    </row>
    <row r="51" spans="2:13" ht="27.75" customHeight="1" thickTop="1" thickBot="1" x14ac:dyDescent="0.3">
      <c r="B51" s="132" t="s">
        <v>811</v>
      </c>
      <c r="C51" s="132"/>
      <c r="D51" s="30">
        <f>D48/D50</f>
        <v>0.87716590711022135</v>
      </c>
      <c r="E51" s="51"/>
      <c r="F51" s="93"/>
      <c r="G51" s="93"/>
      <c r="H51" s="51" t="s">
        <v>351</v>
      </c>
      <c r="I51" s="30" t="s">
        <v>351</v>
      </c>
      <c r="J51" s="51" t="s">
        <v>351</v>
      </c>
      <c r="K51" s="30" t="s">
        <v>351</v>
      </c>
      <c r="L51" s="3" t="s">
        <v>351</v>
      </c>
      <c r="M51" s="3" t="s">
        <v>351</v>
      </c>
    </row>
    <row r="52" spans="2:13" ht="30.75" customHeight="1" thickTop="1" thickBot="1" x14ac:dyDescent="0.3">
      <c r="B52" s="132" t="s">
        <v>812</v>
      </c>
      <c r="C52" s="132"/>
      <c r="D52" s="30">
        <f>D49/D50</f>
        <v>0.9162190692365334</v>
      </c>
      <c r="E52" s="51"/>
      <c r="F52" s="93"/>
      <c r="G52" s="93"/>
      <c r="H52" s="51" t="s">
        <v>351</v>
      </c>
      <c r="I52" s="30" t="s">
        <v>351</v>
      </c>
      <c r="J52" s="51" t="s">
        <v>351</v>
      </c>
      <c r="K52" s="30" t="s">
        <v>351</v>
      </c>
      <c r="L52" s="3" t="s">
        <v>351</v>
      </c>
      <c r="M52" s="3" t="s">
        <v>351</v>
      </c>
    </row>
    <row r="53" spans="2:13" ht="13" thickTop="1" x14ac:dyDescent="0.25"/>
    <row r="58" spans="2:13" ht="50" x14ac:dyDescent="0.25">
      <c r="B58" s="2" t="s">
        <v>353</v>
      </c>
      <c r="C58" s="2" t="s">
        <v>354</v>
      </c>
      <c r="D58" s="2" t="s">
        <v>355</v>
      </c>
      <c r="E58" s="86" t="s">
        <v>356</v>
      </c>
      <c r="F58" s="2" t="s">
        <v>357</v>
      </c>
      <c r="G58" s="2" t="s">
        <v>358</v>
      </c>
    </row>
    <row r="59" spans="2:13" ht="37.5" x14ac:dyDescent="0.25">
      <c r="B59" s="17" t="s">
        <v>280</v>
      </c>
      <c r="C59" s="21">
        <f t="shared" ref="C59:C65" si="5">COUNTIFS($C$11:$C$46,$B59,$L$11:$L$46, "&lt;&gt;No data found")</f>
        <v>2</v>
      </c>
      <c r="D59" s="3" t="s">
        <v>479</v>
      </c>
      <c r="E59" s="21">
        <f t="shared" ref="E59:E65" si="6">SUMIFS($D$11:$D$46,$C$11:$C$46,$B59,$L$11:$L$46,"&lt;&gt;No data found")</f>
        <v>136825.32</v>
      </c>
      <c r="F59" s="21">
        <f t="shared" ref="F59:F65" si="7">SUMIFS($I$11:$I$46,$C$11:$C$46,B59,$L$11:$L$46,"&lt;&gt;No data found")</f>
        <v>67743.027600000001</v>
      </c>
      <c r="G59" s="32">
        <f t="shared" ref="G59:G65" si="8">F59/E59</f>
        <v>0.49510593214764637</v>
      </c>
    </row>
    <row r="60" spans="2:13" ht="25" x14ac:dyDescent="0.25">
      <c r="B60" s="17" t="s">
        <v>142</v>
      </c>
      <c r="C60" s="21">
        <f t="shared" si="5"/>
        <v>6</v>
      </c>
      <c r="D60" s="3" t="s">
        <v>362</v>
      </c>
      <c r="E60" s="21">
        <f t="shared" si="6"/>
        <v>1631591.14</v>
      </c>
      <c r="F60" s="21">
        <f t="shared" si="7"/>
        <v>1000977.71228</v>
      </c>
      <c r="G60" s="32">
        <f t="shared" si="8"/>
        <v>0.61349788420645635</v>
      </c>
    </row>
    <row r="61" spans="2:13" ht="37.5" x14ac:dyDescent="0.25">
      <c r="B61" s="17" t="s">
        <v>150</v>
      </c>
      <c r="C61" s="21">
        <f t="shared" si="5"/>
        <v>10</v>
      </c>
      <c r="D61" s="3" t="s">
        <v>422</v>
      </c>
      <c r="E61" s="21">
        <f t="shared" si="6"/>
        <v>5348704.57</v>
      </c>
      <c r="F61" s="21">
        <f t="shared" si="7"/>
        <v>3723564.3298337907</v>
      </c>
      <c r="G61" s="32">
        <f t="shared" si="8"/>
        <v>0.69616189884904978</v>
      </c>
    </row>
    <row r="62" spans="2:13" ht="25" x14ac:dyDescent="0.25">
      <c r="B62" s="17" t="s">
        <v>133</v>
      </c>
      <c r="C62" s="21">
        <f t="shared" si="5"/>
        <v>2</v>
      </c>
      <c r="D62" s="3" t="s">
        <v>362</v>
      </c>
      <c r="E62" s="21">
        <f t="shared" si="6"/>
        <v>2878837.2462399998</v>
      </c>
      <c r="F62" s="21">
        <f t="shared" si="7"/>
        <v>1007314.0384591999</v>
      </c>
      <c r="G62" s="32">
        <f t="shared" si="8"/>
        <v>0.34990308666279613</v>
      </c>
    </row>
    <row r="63" spans="2:13" ht="25" x14ac:dyDescent="0.25">
      <c r="B63" s="17" t="s">
        <v>304</v>
      </c>
      <c r="C63" s="21">
        <f t="shared" si="5"/>
        <v>3</v>
      </c>
      <c r="D63" s="3" t="s">
        <v>362</v>
      </c>
      <c r="E63" s="21">
        <f t="shared" si="6"/>
        <v>347253.62</v>
      </c>
      <c r="F63" s="21">
        <f t="shared" si="7"/>
        <v>121791.80693637935</v>
      </c>
      <c r="G63" s="32">
        <f t="shared" si="8"/>
        <v>0.35072868912462124</v>
      </c>
    </row>
    <row r="64" spans="2:13" ht="25" x14ac:dyDescent="0.25">
      <c r="B64" s="17" t="s">
        <v>145</v>
      </c>
      <c r="C64" s="21">
        <f t="shared" si="5"/>
        <v>2</v>
      </c>
      <c r="D64" s="3" t="s">
        <v>362</v>
      </c>
      <c r="E64" s="21">
        <f t="shared" si="6"/>
        <v>1096200.42</v>
      </c>
      <c r="F64" s="21">
        <f t="shared" si="7"/>
        <v>892713.48600000003</v>
      </c>
      <c r="G64" s="32">
        <f t="shared" si="8"/>
        <v>0.81437068414916325</v>
      </c>
    </row>
    <row r="65" spans="2:7" ht="25" x14ac:dyDescent="0.25">
      <c r="B65" s="17" t="s">
        <v>129</v>
      </c>
      <c r="C65" s="21">
        <f t="shared" si="5"/>
        <v>4</v>
      </c>
      <c r="D65" s="3" t="s">
        <v>362</v>
      </c>
      <c r="E65" s="21">
        <f t="shared" si="6"/>
        <v>3769062.12</v>
      </c>
      <c r="F65" s="21">
        <f t="shared" si="7"/>
        <v>2506962.0102139441</v>
      </c>
      <c r="G65" s="32">
        <f t="shared" si="8"/>
        <v>0.66514213095907904</v>
      </c>
    </row>
  </sheetData>
  <autoFilter ref="B10:S45" xr:uid="{8FC33B69-0632-4409-8CFA-B1D1B50BA2D3}"/>
  <mergeCells count="13">
    <mergeCell ref="O48:P48"/>
    <mergeCell ref="B52:C52"/>
    <mergeCell ref="C2:D2"/>
    <mergeCell ref="C3:D3"/>
    <mergeCell ref="C4:D4"/>
    <mergeCell ref="C5:D5"/>
    <mergeCell ref="C6:D6"/>
    <mergeCell ref="C7:D7"/>
    <mergeCell ref="B48:C48"/>
    <mergeCell ref="B49:C49"/>
    <mergeCell ref="B50:C50"/>
    <mergeCell ref="B51:C51"/>
    <mergeCell ref="D9:M9"/>
  </mergeCells>
  <conditionalFormatting sqref="L11:L45">
    <cfRule type="cellIs" dxfId="3" priority="1" operator="equal">
      <formula>"Green"</formula>
    </cfRule>
    <cfRule type="cellIs" dxfId="2" priority="2" operator="equal">
      <formula>"Red"</formula>
    </cfRule>
    <cfRule type="cellIs" dxfId="1" priority="3" operator="equal">
      <formula>"Amber"</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2"/>
  </sheetPr>
  <dimension ref="A2:T174"/>
  <sheetViews>
    <sheetView topLeftCell="M1" workbookViewId="0">
      <selection activeCell="M7" sqref="M7"/>
    </sheetView>
  </sheetViews>
  <sheetFormatPr baseColWidth="10" defaultColWidth="8.81640625" defaultRowHeight="12.5" x14ac:dyDescent="0.25"/>
  <cols>
    <col min="2" max="2" width="13.1796875" customWidth="1"/>
    <col min="3" max="3" width="12.1796875" customWidth="1"/>
    <col min="4" max="4" width="9.1796875" bestFit="1" customWidth="1"/>
    <col min="5" max="5" width="11.81640625" customWidth="1"/>
    <col min="6" max="6" width="8.81640625" style="11"/>
    <col min="7" max="8" width="48.1796875" customWidth="1"/>
    <col min="10" max="10" width="11.81640625" style="5" customWidth="1"/>
    <col min="11" max="11" width="12" style="11" customWidth="1"/>
    <col min="12" max="12" width="32.1796875" style="11" customWidth="1"/>
    <col min="13" max="14" width="48.1796875" customWidth="1"/>
    <col min="16" max="16" width="15.1796875" customWidth="1"/>
    <col min="17" max="17" width="12.1796875" style="11" bestFit="1" customWidth="1"/>
    <col min="18" max="18" width="32.1796875" style="11" customWidth="1"/>
    <col min="19" max="20" width="48.1796875" customWidth="1"/>
  </cols>
  <sheetData>
    <row r="2" spans="2:20" ht="15.5" thickBot="1" x14ac:dyDescent="0.3">
      <c r="B2" s="4" t="s">
        <v>480</v>
      </c>
      <c r="C2" s="4"/>
      <c r="D2" s="4"/>
      <c r="E2" s="4"/>
      <c r="F2" s="4"/>
      <c r="G2" s="4"/>
      <c r="H2" s="4"/>
      <c r="I2" s="4"/>
      <c r="J2" s="4"/>
      <c r="K2" s="4"/>
      <c r="L2" s="4"/>
    </row>
    <row r="3" spans="2:20" ht="13" thickTop="1" x14ac:dyDescent="0.25">
      <c r="Q3" s="105"/>
      <c r="R3" s="105"/>
    </row>
    <row r="4" spans="2:20" ht="13" thickBot="1" x14ac:dyDescent="0.3">
      <c r="Q4"/>
      <c r="R4"/>
    </row>
    <row r="5" spans="2:20" ht="13.5" thickTop="1" thickBot="1" x14ac:dyDescent="0.3">
      <c r="E5" s="152" t="s">
        <v>481</v>
      </c>
      <c r="F5" s="152"/>
      <c r="G5" s="152"/>
      <c r="H5" s="152"/>
      <c r="J5" s="152" t="s">
        <v>482</v>
      </c>
      <c r="K5" s="152"/>
      <c r="L5" s="152"/>
      <c r="M5" s="152"/>
      <c r="N5" s="152"/>
      <c r="P5" s="152" t="s">
        <v>483</v>
      </c>
      <c r="Q5" s="152"/>
      <c r="R5" s="152"/>
      <c r="S5" s="152"/>
      <c r="T5" s="152"/>
    </row>
    <row r="6" spans="2:20" ht="25.5" thickTop="1" x14ac:dyDescent="0.25">
      <c r="B6" s="78" t="s">
        <v>51</v>
      </c>
      <c r="C6" s="78" t="s">
        <v>484</v>
      </c>
      <c r="E6" s="2" t="s">
        <v>52</v>
      </c>
      <c r="F6" s="12" t="s">
        <v>22</v>
      </c>
      <c r="G6" s="2" t="s">
        <v>485</v>
      </c>
      <c r="H6" s="2" t="s">
        <v>486</v>
      </c>
      <c r="J6" s="6" t="s">
        <v>482</v>
      </c>
      <c r="K6" s="12" t="s">
        <v>22</v>
      </c>
      <c r="L6" s="12" t="s">
        <v>487</v>
      </c>
      <c r="M6" s="2" t="s">
        <v>485</v>
      </c>
      <c r="N6" s="2" t="s">
        <v>486</v>
      </c>
      <c r="P6" s="2" t="s">
        <v>483</v>
      </c>
      <c r="Q6" s="12" t="s">
        <v>22</v>
      </c>
      <c r="R6" s="12" t="s">
        <v>487</v>
      </c>
      <c r="S6" s="2" t="s">
        <v>485</v>
      </c>
      <c r="T6" s="2" t="s">
        <v>486</v>
      </c>
    </row>
    <row r="7" spans="2:20" ht="137.5" x14ac:dyDescent="0.25">
      <c r="B7" s="3" t="s">
        <v>348</v>
      </c>
      <c r="C7" s="3" t="s">
        <v>488</v>
      </c>
      <c r="E7" s="3">
        <v>135262.96</v>
      </c>
      <c r="F7" s="10">
        <v>2023</v>
      </c>
      <c r="G7" s="39" t="s">
        <v>80</v>
      </c>
      <c r="H7" s="3" t="s">
        <v>282</v>
      </c>
      <c r="J7" s="7">
        <v>0.5</v>
      </c>
      <c r="K7" s="10">
        <v>2021</v>
      </c>
      <c r="L7" s="94" t="s">
        <v>489</v>
      </c>
      <c r="M7" s="3" t="s">
        <v>490</v>
      </c>
      <c r="N7" s="9" t="s">
        <v>491</v>
      </c>
      <c r="P7" s="7">
        <v>0.45</v>
      </c>
      <c r="Q7" s="10">
        <v>2021</v>
      </c>
      <c r="R7" s="10" t="s">
        <v>492</v>
      </c>
      <c r="S7" s="3" t="s">
        <v>493</v>
      </c>
      <c r="T7" s="9" t="s">
        <v>494</v>
      </c>
    </row>
    <row r="8" spans="2:20" ht="100" x14ac:dyDescent="0.25">
      <c r="B8" s="3" t="s">
        <v>348</v>
      </c>
      <c r="C8" s="3" t="s">
        <v>495</v>
      </c>
      <c r="E8" s="3">
        <v>161214.45000000001</v>
      </c>
      <c r="F8" s="10">
        <v>2023</v>
      </c>
      <c r="G8" s="39" t="s">
        <v>80</v>
      </c>
      <c r="H8" s="3" t="s">
        <v>282</v>
      </c>
      <c r="J8" s="7">
        <v>0.8</v>
      </c>
      <c r="K8" s="10" t="s">
        <v>496</v>
      </c>
      <c r="L8" s="10" t="s">
        <v>497</v>
      </c>
      <c r="M8" s="3" t="s">
        <v>490</v>
      </c>
      <c r="N8" s="9" t="s">
        <v>491</v>
      </c>
      <c r="P8" s="7">
        <v>0.77</v>
      </c>
      <c r="Q8" s="10" t="s">
        <v>496</v>
      </c>
      <c r="R8" s="10" t="s">
        <v>498</v>
      </c>
      <c r="S8" s="3" t="s">
        <v>493</v>
      </c>
      <c r="T8" s="9" t="s">
        <v>494</v>
      </c>
    </row>
    <row r="9" spans="2:20" ht="37.5" x14ac:dyDescent="0.25">
      <c r="B9" s="3" t="s">
        <v>348</v>
      </c>
      <c r="C9" s="3" t="s">
        <v>499</v>
      </c>
      <c r="E9" s="3">
        <v>1800123.39</v>
      </c>
      <c r="F9" s="10">
        <v>2023</v>
      </c>
      <c r="G9" s="39" t="s">
        <v>80</v>
      </c>
      <c r="H9" s="3" t="s">
        <v>282</v>
      </c>
      <c r="J9" s="7">
        <v>0.14699999999999999</v>
      </c>
      <c r="K9" s="10">
        <v>2021</v>
      </c>
      <c r="L9" s="91" t="s">
        <v>500</v>
      </c>
      <c r="M9" s="3" t="s">
        <v>493</v>
      </c>
      <c r="N9" s="9" t="s">
        <v>494</v>
      </c>
      <c r="P9" s="7">
        <v>0.14000000000000001</v>
      </c>
      <c r="Q9" s="10">
        <v>2021</v>
      </c>
      <c r="R9" s="91" t="s">
        <v>501</v>
      </c>
      <c r="S9" s="3" t="s">
        <v>493</v>
      </c>
      <c r="T9" s="9" t="s">
        <v>494</v>
      </c>
    </row>
    <row r="10" spans="2:20" ht="62.5" x14ac:dyDescent="0.25">
      <c r="B10" s="3" t="s">
        <v>60</v>
      </c>
      <c r="C10" s="3" t="s">
        <v>495</v>
      </c>
      <c r="E10" s="3">
        <v>397200</v>
      </c>
      <c r="F10" s="10">
        <v>2023</v>
      </c>
      <c r="G10" s="39" t="s">
        <v>61</v>
      </c>
      <c r="H10" s="3" t="s">
        <v>502</v>
      </c>
      <c r="J10" s="7"/>
      <c r="K10" s="10"/>
      <c r="L10" s="3"/>
      <c r="M10" s="3"/>
      <c r="N10" s="9"/>
      <c r="P10" s="7">
        <v>0.97299999999999998</v>
      </c>
      <c r="Q10" s="10">
        <v>2024</v>
      </c>
      <c r="R10" s="3" t="s">
        <v>289</v>
      </c>
      <c r="S10" s="3" t="s">
        <v>503</v>
      </c>
      <c r="T10" s="3" t="s">
        <v>504</v>
      </c>
    </row>
    <row r="11" spans="2:20" ht="37.5" x14ac:dyDescent="0.25">
      <c r="B11" s="3" t="s">
        <v>60</v>
      </c>
      <c r="C11" s="3" t="s">
        <v>499</v>
      </c>
      <c r="E11" s="3">
        <v>8052910.3600000003</v>
      </c>
      <c r="F11" s="10">
        <v>2023</v>
      </c>
      <c r="G11" s="39" t="s">
        <v>80</v>
      </c>
      <c r="H11" s="3" t="s">
        <v>282</v>
      </c>
      <c r="J11" s="7"/>
      <c r="K11" s="10"/>
      <c r="L11" s="10"/>
      <c r="M11" s="3"/>
      <c r="N11" s="3"/>
      <c r="P11" s="7">
        <v>0.25</v>
      </c>
      <c r="Q11" s="10">
        <v>2024</v>
      </c>
      <c r="R11" s="98" t="s">
        <v>374</v>
      </c>
      <c r="S11" s="3" t="s">
        <v>505</v>
      </c>
      <c r="T11" s="3" t="s">
        <v>282</v>
      </c>
    </row>
    <row r="12" spans="2:20" ht="37.5" x14ac:dyDescent="0.25">
      <c r="B12" s="3" t="s">
        <v>60</v>
      </c>
      <c r="C12" s="3" t="s">
        <v>488</v>
      </c>
      <c r="E12" s="3">
        <v>440346.1</v>
      </c>
      <c r="F12" s="10">
        <v>2023</v>
      </c>
      <c r="G12" s="39" t="s">
        <v>80</v>
      </c>
      <c r="H12" s="3" t="s">
        <v>282</v>
      </c>
      <c r="J12" s="7"/>
      <c r="K12" s="10"/>
      <c r="L12" s="10"/>
      <c r="M12" s="3"/>
      <c r="N12" s="3"/>
      <c r="P12" s="82">
        <v>0.93108579819373904</v>
      </c>
      <c r="Q12" s="10">
        <v>2024</v>
      </c>
      <c r="R12" s="98" t="s">
        <v>506</v>
      </c>
      <c r="S12" s="3" t="s">
        <v>507</v>
      </c>
      <c r="T12" s="3" t="s">
        <v>282</v>
      </c>
    </row>
    <row r="13" spans="2:20" ht="75" x14ac:dyDescent="0.25">
      <c r="B13" s="3" t="s">
        <v>286</v>
      </c>
      <c r="C13" s="3" t="s">
        <v>495</v>
      </c>
      <c r="E13" s="3">
        <v>17902.75</v>
      </c>
      <c r="F13" s="10">
        <v>2023</v>
      </c>
      <c r="G13" s="39" t="s">
        <v>80</v>
      </c>
      <c r="H13" s="3" t="s">
        <v>282</v>
      </c>
      <c r="J13" s="7">
        <v>0.91</v>
      </c>
      <c r="K13" s="10">
        <v>2019</v>
      </c>
      <c r="L13" s="3" t="s">
        <v>508</v>
      </c>
      <c r="M13" s="3" t="s">
        <v>509</v>
      </c>
      <c r="N13" s="9" t="s">
        <v>510</v>
      </c>
      <c r="P13" s="20">
        <v>0.79</v>
      </c>
      <c r="Q13" s="19">
        <v>2021</v>
      </c>
      <c r="R13" s="19" t="s">
        <v>511</v>
      </c>
      <c r="S13" s="16" t="s">
        <v>512</v>
      </c>
      <c r="T13" s="9" t="s">
        <v>513</v>
      </c>
    </row>
    <row r="14" spans="2:20" ht="166.5" customHeight="1" x14ac:dyDescent="0.25">
      <c r="B14" s="3" t="s">
        <v>286</v>
      </c>
      <c r="C14" s="3" t="s">
        <v>499</v>
      </c>
      <c r="E14" s="3">
        <v>2235971.9700000002</v>
      </c>
      <c r="F14" s="10">
        <v>2023</v>
      </c>
      <c r="G14" s="39" t="s">
        <v>80</v>
      </c>
      <c r="H14" s="3" t="s">
        <v>282</v>
      </c>
      <c r="J14" s="7"/>
      <c r="K14" s="10"/>
      <c r="L14" s="10"/>
      <c r="M14" s="3"/>
      <c r="N14" s="3"/>
      <c r="P14" s="7"/>
      <c r="Q14" s="10"/>
      <c r="R14" s="10"/>
      <c r="S14" s="3"/>
      <c r="T14" s="9"/>
    </row>
    <row r="15" spans="2:20" ht="124.5" customHeight="1" x14ac:dyDescent="0.25">
      <c r="B15" s="3" t="s">
        <v>286</v>
      </c>
      <c r="C15" s="3" t="s">
        <v>488</v>
      </c>
      <c r="E15" s="3">
        <v>197379.56</v>
      </c>
      <c r="F15" s="10">
        <v>2023</v>
      </c>
      <c r="G15" s="39" t="s">
        <v>80</v>
      </c>
      <c r="H15" s="3" t="s">
        <v>282</v>
      </c>
      <c r="J15" s="7">
        <v>0.24</v>
      </c>
      <c r="K15" s="10" t="s">
        <v>514</v>
      </c>
      <c r="L15" s="10" t="s">
        <v>423</v>
      </c>
      <c r="M15" s="3" t="s">
        <v>515</v>
      </c>
      <c r="N15" s="9" t="s">
        <v>516</v>
      </c>
      <c r="P15" s="7"/>
      <c r="Q15" s="10"/>
      <c r="R15" s="10"/>
      <c r="S15" s="3"/>
      <c r="T15" s="9"/>
    </row>
    <row r="16" spans="2:20" ht="125" x14ac:dyDescent="0.25">
      <c r="B16" s="3" t="s">
        <v>161</v>
      </c>
      <c r="C16" s="3" t="s">
        <v>495</v>
      </c>
      <c r="E16" s="3">
        <v>54339.839999999997</v>
      </c>
      <c r="F16" s="10">
        <v>2023</v>
      </c>
      <c r="G16" s="39" t="s">
        <v>80</v>
      </c>
      <c r="H16" s="3" t="s">
        <v>282</v>
      </c>
      <c r="J16" s="7">
        <v>0.78</v>
      </c>
      <c r="K16" s="10" t="s">
        <v>517</v>
      </c>
      <c r="L16" s="10" t="s">
        <v>518</v>
      </c>
      <c r="M16" s="3" t="s">
        <v>519</v>
      </c>
      <c r="N16" s="9" t="s">
        <v>520</v>
      </c>
      <c r="P16" s="20">
        <v>0.74</v>
      </c>
      <c r="Q16" s="19" t="s">
        <v>517</v>
      </c>
      <c r="R16" s="19" t="s">
        <v>521</v>
      </c>
      <c r="S16" s="16" t="s">
        <v>519</v>
      </c>
      <c r="T16" s="9" t="s">
        <v>520</v>
      </c>
    </row>
    <row r="17" spans="1:20" ht="175" x14ac:dyDescent="0.25">
      <c r="B17" s="3" t="s">
        <v>161</v>
      </c>
      <c r="C17" s="3" t="s">
        <v>499</v>
      </c>
      <c r="E17" s="3">
        <v>1783903.54</v>
      </c>
      <c r="F17" s="10">
        <v>2023</v>
      </c>
      <c r="G17" s="39" t="s">
        <v>80</v>
      </c>
      <c r="H17" s="3" t="s">
        <v>282</v>
      </c>
      <c r="J17" s="83"/>
      <c r="K17" s="10"/>
      <c r="L17" s="10"/>
      <c r="M17" s="3"/>
      <c r="N17" s="9"/>
      <c r="P17" s="83">
        <v>0.68868778280542986</v>
      </c>
      <c r="Q17" s="10" t="s">
        <v>522</v>
      </c>
      <c r="R17" s="10" t="s">
        <v>523</v>
      </c>
      <c r="S17" s="3" t="s">
        <v>524</v>
      </c>
      <c r="T17" s="9" t="s">
        <v>525</v>
      </c>
    </row>
    <row r="18" spans="1:20" ht="168.75" customHeight="1" x14ac:dyDescent="0.25">
      <c r="B18" s="3" t="s">
        <v>161</v>
      </c>
      <c r="C18" s="3" t="s">
        <v>488</v>
      </c>
      <c r="E18" s="3">
        <v>75798.53</v>
      </c>
      <c r="F18" s="10">
        <v>2023</v>
      </c>
      <c r="G18" s="39" t="s">
        <v>80</v>
      </c>
      <c r="H18" s="3" t="s">
        <v>282</v>
      </c>
      <c r="J18" s="83"/>
      <c r="K18" s="10"/>
      <c r="L18" s="10"/>
      <c r="M18" s="3"/>
      <c r="N18" s="9"/>
      <c r="P18" s="83">
        <v>0.57352941176470584</v>
      </c>
      <c r="Q18" s="10" t="s">
        <v>522</v>
      </c>
      <c r="R18" s="96" t="s">
        <v>526</v>
      </c>
      <c r="S18" s="3" t="s">
        <v>524</v>
      </c>
      <c r="T18" s="9" t="s">
        <v>525</v>
      </c>
    </row>
    <row r="19" spans="1:20" ht="175" x14ac:dyDescent="0.25">
      <c r="B19" s="3" t="s">
        <v>137</v>
      </c>
      <c r="C19" s="3" t="s">
        <v>488</v>
      </c>
      <c r="E19" s="3">
        <v>179055.46</v>
      </c>
      <c r="F19" s="10">
        <v>2023</v>
      </c>
      <c r="G19" s="39" t="s">
        <v>80</v>
      </c>
      <c r="H19" s="3" t="s">
        <v>282</v>
      </c>
      <c r="J19" s="7">
        <v>0.65</v>
      </c>
      <c r="K19" s="10">
        <v>2022</v>
      </c>
      <c r="L19" s="98" t="s">
        <v>527</v>
      </c>
      <c r="M19" s="3" t="s">
        <v>528</v>
      </c>
      <c r="N19" s="9" t="s">
        <v>529</v>
      </c>
      <c r="P19" s="7">
        <v>0.52</v>
      </c>
      <c r="Q19" s="10">
        <v>2022</v>
      </c>
      <c r="R19" s="90" t="s">
        <v>530</v>
      </c>
      <c r="S19" s="3" t="s">
        <v>528</v>
      </c>
      <c r="T19" s="9" t="s">
        <v>529</v>
      </c>
    </row>
    <row r="20" spans="1:20" ht="150" x14ac:dyDescent="0.25">
      <c r="B20" s="3" t="s">
        <v>137</v>
      </c>
      <c r="C20" s="3" t="s">
        <v>495</v>
      </c>
      <c r="E20" s="3">
        <v>119984.53</v>
      </c>
      <c r="F20" s="10">
        <v>2023</v>
      </c>
      <c r="G20" s="39" t="s">
        <v>80</v>
      </c>
      <c r="H20" s="3" t="s">
        <v>282</v>
      </c>
      <c r="J20" s="7"/>
      <c r="K20" s="10"/>
      <c r="L20" s="10"/>
      <c r="M20" s="3"/>
      <c r="N20" s="3"/>
      <c r="P20" s="7">
        <v>0.73</v>
      </c>
      <c r="Q20" s="10">
        <v>2019</v>
      </c>
      <c r="R20" s="90" t="s">
        <v>531</v>
      </c>
      <c r="S20" s="3" t="s">
        <v>532</v>
      </c>
      <c r="T20" s="9" t="s">
        <v>533</v>
      </c>
    </row>
    <row r="21" spans="1:20" ht="50" x14ac:dyDescent="0.25">
      <c r="B21" s="3" t="s">
        <v>137</v>
      </c>
      <c r="C21" s="3" t="s">
        <v>499</v>
      </c>
      <c r="E21" s="3">
        <v>1200420.6200000001</v>
      </c>
      <c r="F21" s="10">
        <v>2023</v>
      </c>
      <c r="G21" s="39" t="s">
        <v>80</v>
      </c>
      <c r="H21" s="3" t="s">
        <v>282</v>
      </c>
      <c r="J21" s="7"/>
      <c r="K21" s="10"/>
      <c r="L21" s="10"/>
      <c r="M21" s="3"/>
      <c r="N21" s="3"/>
      <c r="P21" s="7">
        <v>0.83</v>
      </c>
      <c r="Q21" s="10">
        <v>2019</v>
      </c>
      <c r="R21" s="90" t="s">
        <v>534</v>
      </c>
      <c r="S21" s="3" t="s">
        <v>535</v>
      </c>
      <c r="T21" s="9" t="s">
        <v>533</v>
      </c>
    </row>
    <row r="22" spans="1:20" ht="100" x14ac:dyDescent="0.25">
      <c r="B22" s="3" t="s">
        <v>141</v>
      </c>
      <c r="C22" s="3" t="s">
        <v>488</v>
      </c>
      <c r="E22" s="3">
        <v>65910.720000000001</v>
      </c>
      <c r="F22" s="10">
        <v>2023</v>
      </c>
      <c r="G22" s="39" t="s">
        <v>80</v>
      </c>
      <c r="H22" s="3" t="s">
        <v>282</v>
      </c>
      <c r="J22" s="7">
        <v>0.28899999999999998</v>
      </c>
      <c r="K22" s="10">
        <v>2023</v>
      </c>
      <c r="L22" s="3" t="s">
        <v>295</v>
      </c>
      <c r="M22" s="3" t="s">
        <v>536</v>
      </c>
      <c r="N22" s="9" t="s">
        <v>537</v>
      </c>
      <c r="P22" s="7">
        <v>0.19</v>
      </c>
      <c r="Q22" s="10" t="s">
        <v>538</v>
      </c>
      <c r="R22" s="98" t="s">
        <v>539</v>
      </c>
      <c r="S22" s="3" t="s">
        <v>540</v>
      </c>
      <c r="T22" s="9" t="s">
        <v>541</v>
      </c>
    </row>
    <row r="23" spans="1:20" ht="100" x14ac:dyDescent="0.25">
      <c r="B23" s="3" t="s">
        <v>141</v>
      </c>
      <c r="C23" s="3" t="s">
        <v>495</v>
      </c>
      <c r="E23" s="3">
        <v>20601.23</v>
      </c>
      <c r="F23" s="10">
        <v>2023</v>
      </c>
      <c r="G23" s="39" t="s">
        <v>80</v>
      </c>
      <c r="H23" s="3" t="s">
        <v>282</v>
      </c>
      <c r="J23" s="7">
        <v>0.26800000000000002</v>
      </c>
      <c r="K23" s="10">
        <v>2023</v>
      </c>
      <c r="L23" s="3" t="s">
        <v>295</v>
      </c>
      <c r="M23" s="3" t="s">
        <v>536</v>
      </c>
      <c r="N23" s="9" t="s">
        <v>537</v>
      </c>
      <c r="P23" s="20"/>
      <c r="Q23" s="19"/>
      <c r="R23" s="19"/>
      <c r="S23" s="16"/>
      <c r="T23" s="16"/>
    </row>
    <row r="24" spans="1:20" ht="100" x14ac:dyDescent="0.25">
      <c r="B24" s="3" t="s">
        <v>141</v>
      </c>
      <c r="C24" s="3" t="s">
        <v>499</v>
      </c>
      <c r="E24" s="3">
        <v>872194.69</v>
      </c>
      <c r="F24" s="10">
        <v>2023</v>
      </c>
      <c r="G24" s="39" t="s">
        <v>80</v>
      </c>
      <c r="H24" s="3" t="s">
        <v>282</v>
      </c>
      <c r="J24" s="7">
        <v>0.224</v>
      </c>
      <c r="K24" s="10">
        <v>2023</v>
      </c>
      <c r="L24" s="3" t="s">
        <v>295</v>
      </c>
      <c r="M24" s="3" t="s">
        <v>536</v>
      </c>
      <c r="N24" s="9" t="s">
        <v>537</v>
      </c>
      <c r="P24" s="20"/>
      <c r="Q24" s="19"/>
      <c r="R24" s="19"/>
      <c r="S24" s="16"/>
      <c r="T24" s="16"/>
    </row>
    <row r="25" spans="1:20" ht="75" x14ac:dyDescent="0.25">
      <c r="B25" s="3" t="s">
        <v>45</v>
      </c>
      <c r="C25" s="3" t="s">
        <v>488</v>
      </c>
      <c r="E25" s="3">
        <v>3536993</v>
      </c>
      <c r="F25" s="10">
        <v>2023</v>
      </c>
      <c r="G25" s="39" t="s">
        <v>80</v>
      </c>
      <c r="H25" s="3" t="s">
        <v>282</v>
      </c>
      <c r="J25" s="7">
        <v>0.75</v>
      </c>
      <c r="K25" s="10">
        <v>2019</v>
      </c>
      <c r="L25" s="3" t="s">
        <v>299</v>
      </c>
      <c r="M25" s="3" t="s">
        <v>542</v>
      </c>
      <c r="N25" s="9" t="s">
        <v>90</v>
      </c>
      <c r="O25" s="34"/>
      <c r="P25" s="7"/>
      <c r="Q25" s="10"/>
      <c r="R25" s="10"/>
      <c r="S25" s="3"/>
      <c r="T25" s="9"/>
    </row>
    <row r="26" spans="1:20" ht="75" x14ac:dyDescent="0.25">
      <c r="B26" s="3" t="s">
        <v>45</v>
      </c>
      <c r="C26" s="3" t="s">
        <v>495</v>
      </c>
      <c r="E26" s="79">
        <v>1200000</v>
      </c>
      <c r="F26" s="10">
        <v>2023</v>
      </c>
      <c r="G26" s="106" t="s">
        <v>58</v>
      </c>
      <c r="H26" s="3" t="s">
        <v>282</v>
      </c>
      <c r="J26" s="7">
        <v>0.98</v>
      </c>
      <c r="K26" s="10">
        <v>2019</v>
      </c>
      <c r="L26" s="3" t="s">
        <v>299</v>
      </c>
      <c r="M26" s="3" t="s">
        <v>542</v>
      </c>
      <c r="N26" s="9" t="s">
        <v>90</v>
      </c>
      <c r="O26" s="26"/>
      <c r="P26" s="7"/>
      <c r="Q26" s="10"/>
      <c r="R26" s="10"/>
      <c r="S26" s="3"/>
      <c r="T26" s="9"/>
    </row>
    <row r="27" spans="1:20" ht="75" x14ac:dyDescent="0.25">
      <c r="B27" s="3" t="s">
        <v>45</v>
      </c>
      <c r="C27" s="3" t="s">
        <v>499</v>
      </c>
      <c r="E27" s="3">
        <v>34399383.329999998</v>
      </c>
      <c r="F27" s="10">
        <v>2023</v>
      </c>
      <c r="G27" s="39" t="s">
        <v>80</v>
      </c>
      <c r="H27" s="3" t="s">
        <v>282</v>
      </c>
      <c r="J27" s="7">
        <v>0.35</v>
      </c>
      <c r="K27" s="10">
        <v>2019</v>
      </c>
      <c r="L27" s="3" t="s">
        <v>299</v>
      </c>
      <c r="M27" s="3" t="s">
        <v>542</v>
      </c>
      <c r="N27" s="9" t="s">
        <v>90</v>
      </c>
      <c r="O27" s="26"/>
      <c r="P27" s="7"/>
      <c r="Q27" s="10"/>
      <c r="R27" s="10"/>
      <c r="S27" s="3"/>
      <c r="T27" s="9"/>
    </row>
    <row r="28" spans="1:20" ht="37.5" x14ac:dyDescent="0.25">
      <c r="B28" s="3" t="s">
        <v>300</v>
      </c>
      <c r="C28" s="3" t="s">
        <v>495</v>
      </c>
      <c r="E28" s="3">
        <v>9054.23</v>
      </c>
      <c r="F28" s="10">
        <v>2023</v>
      </c>
      <c r="G28" s="39" t="s">
        <v>80</v>
      </c>
      <c r="H28" s="3" t="s">
        <v>282</v>
      </c>
      <c r="J28" s="7"/>
      <c r="K28" s="10"/>
      <c r="L28" s="10"/>
      <c r="M28" s="3"/>
      <c r="N28" s="3"/>
      <c r="P28" s="7"/>
      <c r="Q28" s="10"/>
      <c r="R28" s="10"/>
      <c r="S28" s="3"/>
      <c r="T28" s="3"/>
    </row>
    <row r="29" spans="1:20" ht="87.5" x14ac:dyDescent="0.25">
      <c r="B29" s="3" t="s">
        <v>300</v>
      </c>
      <c r="C29" s="3" t="s">
        <v>488</v>
      </c>
      <c r="E29" s="3">
        <v>119212.02</v>
      </c>
      <c r="F29" s="10">
        <v>2023</v>
      </c>
      <c r="G29" s="39" t="s">
        <v>80</v>
      </c>
      <c r="H29" s="3" t="s">
        <v>282</v>
      </c>
      <c r="J29" s="7">
        <v>0.3</v>
      </c>
      <c r="K29" s="19">
        <v>2020</v>
      </c>
      <c r="L29" s="3" t="s">
        <v>323</v>
      </c>
      <c r="M29" s="3" t="s">
        <v>543</v>
      </c>
      <c r="N29" s="9" t="s">
        <v>544</v>
      </c>
      <c r="P29" s="20"/>
      <c r="Q29" s="19"/>
      <c r="R29" s="19"/>
      <c r="S29" s="3"/>
      <c r="T29" s="9"/>
    </row>
    <row r="30" spans="1:20" ht="87.5" x14ac:dyDescent="0.25">
      <c r="B30" s="3" t="s">
        <v>300</v>
      </c>
      <c r="C30" s="3" t="s">
        <v>499</v>
      </c>
      <c r="E30" s="3">
        <v>2717915.84</v>
      </c>
      <c r="F30" s="10">
        <v>2023</v>
      </c>
      <c r="G30" s="39" t="s">
        <v>80</v>
      </c>
      <c r="H30" s="3" t="s">
        <v>282</v>
      </c>
      <c r="J30" s="20">
        <v>0.42499999999999999</v>
      </c>
      <c r="K30" s="19">
        <v>2020</v>
      </c>
      <c r="L30" s="3" t="s">
        <v>323</v>
      </c>
      <c r="M30" s="3" t="s">
        <v>543</v>
      </c>
      <c r="N30" s="9" t="s">
        <v>544</v>
      </c>
      <c r="P30" s="7"/>
      <c r="Q30" s="10"/>
      <c r="R30" s="10"/>
      <c r="S30" s="3"/>
      <c r="T30" s="9"/>
    </row>
    <row r="31" spans="1:20" ht="50" x14ac:dyDescent="0.25">
      <c r="B31" s="3" t="s">
        <v>301</v>
      </c>
      <c r="C31" s="3" t="s">
        <v>495</v>
      </c>
      <c r="E31" s="3">
        <v>38258.78</v>
      </c>
      <c r="F31" s="10">
        <v>2023</v>
      </c>
      <c r="G31" s="39" t="s">
        <v>80</v>
      </c>
      <c r="H31" s="3" t="s">
        <v>282</v>
      </c>
      <c r="J31" s="7"/>
      <c r="K31" s="10"/>
      <c r="L31" s="3"/>
      <c r="M31" s="3"/>
      <c r="N31" s="9"/>
      <c r="P31" s="7">
        <v>0.75</v>
      </c>
      <c r="Q31" s="10" t="s">
        <v>545</v>
      </c>
      <c r="R31" s="3" t="s">
        <v>302</v>
      </c>
      <c r="S31" s="3" t="s">
        <v>512</v>
      </c>
      <c r="T31" s="9" t="s">
        <v>513</v>
      </c>
    </row>
    <row r="32" spans="1:20" ht="37.5" x14ac:dyDescent="0.25">
      <c r="A32" s="15"/>
      <c r="B32" s="3" t="s">
        <v>301</v>
      </c>
      <c r="C32" s="3" t="s">
        <v>488</v>
      </c>
      <c r="E32" s="3">
        <v>101192.76</v>
      </c>
      <c r="F32" s="10">
        <v>2023</v>
      </c>
      <c r="G32" s="39" t="s">
        <v>80</v>
      </c>
      <c r="H32" s="3" t="s">
        <v>282</v>
      </c>
      <c r="I32" s="5"/>
      <c r="J32" s="7">
        <v>0.43</v>
      </c>
      <c r="K32" s="10">
        <v>2022</v>
      </c>
      <c r="L32" s="94" t="s">
        <v>437</v>
      </c>
      <c r="M32" s="3" t="s">
        <v>546</v>
      </c>
      <c r="N32" s="9" t="s">
        <v>547</v>
      </c>
      <c r="P32" s="7"/>
      <c r="Q32" s="10"/>
      <c r="R32" s="10"/>
      <c r="S32" s="3"/>
      <c r="T32" s="3"/>
    </row>
    <row r="33" spans="1:20" ht="37.5" x14ac:dyDescent="0.25">
      <c r="A33" s="14"/>
      <c r="B33" s="3" t="s">
        <v>301</v>
      </c>
      <c r="C33" s="3" t="s">
        <v>499</v>
      </c>
      <c r="E33" s="3">
        <v>315038.46999999997</v>
      </c>
      <c r="F33" s="10">
        <v>2023</v>
      </c>
      <c r="G33" s="39" t="s">
        <v>80</v>
      </c>
      <c r="H33" s="3" t="s">
        <v>282</v>
      </c>
      <c r="J33" s="7"/>
      <c r="K33" s="10"/>
      <c r="L33" s="10"/>
      <c r="M33" s="3"/>
      <c r="N33" s="3"/>
      <c r="P33" s="7"/>
      <c r="Q33" s="10"/>
      <c r="R33" s="10"/>
      <c r="S33" s="3"/>
      <c r="T33" s="3"/>
    </row>
    <row r="34" spans="1:20" ht="51" customHeight="1" x14ac:dyDescent="0.25">
      <c r="B34" s="3" t="s">
        <v>144</v>
      </c>
      <c r="C34" s="3" t="s">
        <v>495</v>
      </c>
      <c r="E34" s="3">
        <v>29780.43</v>
      </c>
      <c r="F34" s="10">
        <v>2023</v>
      </c>
      <c r="G34" s="39" t="s">
        <v>80</v>
      </c>
      <c r="H34" s="3" t="s">
        <v>282</v>
      </c>
      <c r="J34" s="7">
        <v>0.85</v>
      </c>
      <c r="K34" s="10">
        <v>2018</v>
      </c>
      <c r="L34" s="3" t="s">
        <v>306</v>
      </c>
      <c r="M34" s="3" t="s">
        <v>548</v>
      </c>
      <c r="N34" s="9" t="s">
        <v>549</v>
      </c>
      <c r="P34" s="7"/>
      <c r="Q34" s="10"/>
      <c r="R34" s="10"/>
      <c r="S34" s="3"/>
      <c r="T34" s="9"/>
    </row>
    <row r="35" spans="1:20" ht="136.5" customHeight="1" x14ac:dyDescent="0.25">
      <c r="B35" s="3" t="s">
        <v>144</v>
      </c>
      <c r="C35" s="3" t="s">
        <v>488</v>
      </c>
      <c r="E35" s="3">
        <v>938668.92</v>
      </c>
      <c r="F35" s="10">
        <v>2023</v>
      </c>
      <c r="G35" s="39" t="s">
        <v>80</v>
      </c>
      <c r="H35" s="3" t="s">
        <v>282</v>
      </c>
      <c r="J35" s="7">
        <v>0.8</v>
      </c>
      <c r="K35" s="10">
        <v>2021</v>
      </c>
      <c r="L35" s="10" t="s">
        <v>550</v>
      </c>
      <c r="M35" s="3" t="s">
        <v>147</v>
      </c>
      <c r="N35" s="9" t="s">
        <v>148</v>
      </c>
      <c r="P35" s="7">
        <v>0.64</v>
      </c>
      <c r="Q35" s="10">
        <v>2021</v>
      </c>
      <c r="R35" s="10" t="s">
        <v>551</v>
      </c>
      <c r="S35" s="3" t="s">
        <v>147</v>
      </c>
      <c r="T35" s="9" t="s">
        <v>148</v>
      </c>
    </row>
    <row r="36" spans="1:20" ht="62.5" x14ac:dyDescent="0.25">
      <c r="B36" s="3" t="s">
        <v>144</v>
      </c>
      <c r="C36" s="3" t="s">
        <v>499</v>
      </c>
      <c r="E36" s="3">
        <v>6742763.29</v>
      </c>
      <c r="F36" s="10">
        <v>2023</v>
      </c>
      <c r="G36" s="39" t="s">
        <v>80</v>
      </c>
      <c r="H36" s="3" t="s">
        <v>282</v>
      </c>
      <c r="J36" s="7">
        <v>0.6</v>
      </c>
      <c r="K36" s="10" t="s">
        <v>545</v>
      </c>
      <c r="L36" s="91" t="s">
        <v>552</v>
      </c>
      <c r="M36" s="3" t="s">
        <v>548</v>
      </c>
      <c r="N36" s="9" t="s">
        <v>549</v>
      </c>
      <c r="P36" s="7"/>
      <c r="Q36" s="10"/>
      <c r="R36" s="10"/>
      <c r="S36" s="3"/>
      <c r="T36" s="9"/>
    </row>
    <row r="37" spans="1:20" ht="37.5" x14ac:dyDescent="0.25">
      <c r="B37" s="16" t="s">
        <v>307</v>
      </c>
      <c r="C37" s="16" t="s">
        <v>495</v>
      </c>
      <c r="E37" s="3">
        <v>14959.9</v>
      </c>
      <c r="F37" s="10">
        <v>2023</v>
      </c>
      <c r="G37" s="39" t="s">
        <v>80</v>
      </c>
      <c r="H37" s="3" t="s">
        <v>282</v>
      </c>
      <c r="J37" s="7"/>
      <c r="K37" s="10"/>
      <c r="L37" s="10"/>
      <c r="M37" s="3"/>
      <c r="N37" s="9"/>
      <c r="P37" s="7"/>
      <c r="Q37" s="10"/>
      <c r="R37" s="10"/>
      <c r="S37" s="3"/>
      <c r="T37" s="9"/>
    </row>
    <row r="38" spans="1:20" ht="87.5" x14ac:dyDescent="0.25">
      <c r="B38" s="16" t="s">
        <v>307</v>
      </c>
      <c r="C38" s="3" t="s">
        <v>488</v>
      </c>
      <c r="E38" s="3">
        <v>277535.43</v>
      </c>
      <c r="F38" s="10">
        <v>2023</v>
      </c>
      <c r="G38" s="39" t="s">
        <v>80</v>
      </c>
      <c r="H38" s="3" t="s">
        <v>282</v>
      </c>
      <c r="J38" s="7">
        <v>0.22</v>
      </c>
      <c r="K38" s="10">
        <v>2018</v>
      </c>
      <c r="L38" s="10" t="s">
        <v>553</v>
      </c>
      <c r="M38" s="3" t="s">
        <v>554</v>
      </c>
      <c r="N38" s="9" t="s">
        <v>555</v>
      </c>
      <c r="P38" s="7"/>
      <c r="Q38" s="10"/>
      <c r="R38" s="10"/>
      <c r="S38" s="3"/>
      <c r="T38" s="3"/>
    </row>
    <row r="39" spans="1:20" ht="37.5" x14ac:dyDescent="0.25">
      <c r="B39" s="16" t="s">
        <v>307</v>
      </c>
      <c r="C39" s="16" t="s">
        <v>499</v>
      </c>
      <c r="E39" s="3">
        <v>299912.69</v>
      </c>
      <c r="F39" s="10">
        <v>2023</v>
      </c>
      <c r="G39" s="39" t="s">
        <v>80</v>
      </c>
      <c r="H39" s="3" t="s">
        <v>282</v>
      </c>
      <c r="J39" s="20"/>
      <c r="K39" s="19"/>
      <c r="L39" s="19"/>
      <c r="M39" s="16"/>
      <c r="N39" s="16"/>
      <c r="P39" s="20"/>
      <c r="Q39" s="19"/>
      <c r="R39" s="19"/>
      <c r="S39" s="16"/>
      <c r="T39" s="16"/>
    </row>
    <row r="40" spans="1:20" ht="37.5" x14ac:dyDescent="0.25">
      <c r="B40" s="3" t="s">
        <v>311</v>
      </c>
      <c r="C40" s="3" t="s">
        <v>495</v>
      </c>
      <c r="E40" s="3">
        <v>30159.53</v>
      </c>
      <c r="F40" s="10">
        <v>2023</v>
      </c>
      <c r="G40" s="39" t="s">
        <v>80</v>
      </c>
      <c r="H40" s="3" t="s">
        <v>282</v>
      </c>
      <c r="J40" s="20"/>
      <c r="K40" s="19"/>
      <c r="L40" s="19"/>
      <c r="M40" s="16"/>
      <c r="N40" s="16"/>
      <c r="P40" s="20"/>
      <c r="Q40" s="19"/>
      <c r="R40" s="19"/>
      <c r="S40" s="16"/>
      <c r="T40" s="16"/>
    </row>
    <row r="41" spans="1:20" ht="37.5" x14ac:dyDescent="0.25">
      <c r="B41" s="3" t="s">
        <v>311</v>
      </c>
      <c r="C41" s="3" t="s">
        <v>488</v>
      </c>
      <c r="E41" s="3">
        <v>178539.85</v>
      </c>
      <c r="F41" s="10">
        <v>2023</v>
      </c>
      <c r="G41" s="39" t="s">
        <v>80</v>
      </c>
      <c r="H41" s="3" t="s">
        <v>282</v>
      </c>
      <c r="J41" s="20"/>
      <c r="K41" s="19"/>
      <c r="L41" s="19"/>
      <c r="M41" s="16"/>
      <c r="N41" s="16"/>
      <c r="P41" s="20"/>
      <c r="Q41" s="19"/>
      <c r="R41" s="19"/>
      <c r="S41" s="16"/>
      <c r="T41" s="16"/>
    </row>
    <row r="42" spans="1:20" ht="37.5" x14ac:dyDescent="0.25">
      <c r="B42" s="3" t="s">
        <v>311</v>
      </c>
      <c r="C42" s="3" t="s">
        <v>499</v>
      </c>
      <c r="E42" s="3">
        <v>107942.05</v>
      </c>
      <c r="F42" s="10">
        <v>2023</v>
      </c>
      <c r="G42" s="39" t="s">
        <v>80</v>
      </c>
      <c r="H42" s="3" t="s">
        <v>282</v>
      </c>
      <c r="J42" s="20"/>
      <c r="K42" s="19"/>
      <c r="L42" s="19"/>
      <c r="M42" s="16"/>
      <c r="N42" s="16"/>
      <c r="P42" s="20"/>
      <c r="Q42" s="19"/>
      <c r="R42" s="19"/>
      <c r="S42" s="16"/>
      <c r="T42" s="16"/>
    </row>
    <row r="43" spans="1:20" ht="37.5" x14ac:dyDescent="0.25">
      <c r="B43" s="3" t="s">
        <v>308</v>
      </c>
      <c r="C43" s="3" t="s">
        <v>495</v>
      </c>
      <c r="E43" s="3">
        <v>24879.63</v>
      </c>
      <c r="F43" s="10">
        <v>2023</v>
      </c>
      <c r="G43" s="39" t="s">
        <v>80</v>
      </c>
      <c r="H43" s="3" t="s">
        <v>282</v>
      </c>
      <c r="J43" s="7"/>
      <c r="K43" s="10"/>
      <c r="L43" s="10"/>
      <c r="M43" s="3"/>
      <c r="N43" s="3"/>
      <c r="P43" s="7"/>
      <c r="Q43" s="10"/>
      <c r="R43" s="10"/>
      <c r="S43" s="3"/>
      <c r="T43" s="3"/>
    </row>
    <row r="44" spans="1:20" ht="37.5" x14ac:dyDescent="0.25">
      <c r="B44" s="3" t="s">
        <v>308</v>
      </c>
      <c r="C44" s="3" t="s">
        <v>488</v>
      </c>
      <c r="E44" s="3">
        <v>104024.81</v>
      </c>
      <c r="F44" s="10">
        <v>2023</v>
      </c>
      <c r="G44" s="39" t="s">
        <v>80</v>
      </c>
      <c r="H44" s="3" t="s">
        <v>282</v>
      </c>
      <c r="J44" s="7"/>
      <c r="K44" s="10"/>
      <c r="L44" s="10"/>
      <c r="M44" s="3"/>
      <c r="N44" s="3"/>
      <c r="P44" s="7"/>
      <c r="Q44" s="10"/>
      <c r="R44" s="10"/>
      <c r="S44" s="3"/>
      <c r="T44" s="3"/>
    </row>
    <row r="45" spans="1:20" ht="37.5" x14ac:dyDescent="0.25">
      <c r="B45" s="3" t="s">
        <v>308</v>
      </c>
      <c r="C45" s="3" t="s">
        <v>499</v>
      </c>
      <c r="E45" s="3">
        <v>296996.03999999998</v>
      </c>
      <c r="F45" s="10">
        <v>2023</v>
      </c>
      <c r="G45" s="39" t="s">
        <v>80</v>
      </c>
      <c r="H45" s="3" t="s">
        <v>282</v>
      </c>
      <c r="J45" s="7"/>
      <c r="K45" s="10"/>
      <c r="L45" s="10"/>
      <c r="M45" s="3"/>
      <c r="N45" s="3"/>
      <c r="P45" s="7"/>
      <c r="Q45" s="10"/>
      <c r="R45" s="10"/>
      <c r="S45" s="3"/>
      <c r="T45" s="3"/>
    </row>
    <row r="46" spans="1:20" ht="62.5" x14ac:dyDescent="0.25">
      <c r="B46" s="3" t="s">
        <v>65</v>
      </c>
      <c r="C46" s="3" t="s">
        <v>495</v>
      </c>
      <c r="E46" s="3">
        <v>356135.74</v>
      </c>
      <c r="F46" s="10">
        <v>2023</v>
      </c>
      <c r="G46" s="39" t="s">
        <v>80</v>
      </c>
      <c r="H46" s="3" t="s">
        <v>282</v>
      </c>
      <c r="J46" s="7">
        <v>0.998</v>
      </c>
      <c r="K46" s="10">
        <v>2024</v>
      </c>
      <c r="L46" s="3" t="s">
        <v>317</v>
      </c>
      <c r="M46" s="3" t="s">
        <v>66</v>
      </c>
      <c r="N46" s="9" t="s">
        <v>556</v>
      </c>
      <c r="P46" s="7"/>
      <c r="Q46" s="10"/>
      <c r="R46" s="10"/>
      <c r="S46" s="3"/>
      <c r="T46" s="3"/>
    </row>
    <row r="47" spans="1:20" ht="37.5" x14ac:dyDescent="0.25">
      <c r="B47" s="3" t="s">
        <v>65</v>
      </c>
      <c r="C47" s="3" t="s">
        <v>488</v>
      </c>
      <c r="E47" s="3">
        <v>603605.43999999994</v>
      </c>
      <c r="F47" s="10">
        <v>2023</v>
      </c>
      <c r="G47" s="39" t="s">
        <v>80</v>
      </c>
      <c r="H47" s="3" t="s">
        <v>282</v>
      </c>
      <c r="J47" s="7">
        <v>0.92500000000000004</v>
      </c>
      <c r="K47" s="10">
        <v>2023</v>
      </c>
      <c r="L47" s="10" t="s">
        <v>557</v>
      </c>
      <c r="M47" s="3" t="s">
        <v>558</v>
      </c>
      <c r="N47" s="9" t="s">
        <v>559</v>
      </c>
      <c r="P47" s="7">
        <v>0.85</v>
      </c>
      <c r="Q47" s="10">
        <v>2023</v>
      </c>
      <c r="R47" s="10" t="s">
        <v>560</v>
      </c>
      <c r="S47" s="3" t="s">
        <v>558</v>
      </c>
      <c r="T47" s="9" t="s">
        <v>559</v>
      </c>
    </row>
    <row r="48" spans="1:20" ht="37.5" x14ac:dyDescent="0.25">
      <c r="B48" s="3" t="s">
        <v>65</v>
      </c>
      <c r="C48" s="3" t="s">
        <v>499</v>
      </c>
      <c r="E48" s="3">
        <v>2494867.8199999998</v>
      </c>
      <c r="F48" s="10">
        <v>2023</v>
      </c>
      <c r="G48" s="39" t="s">
        <v>80</v>
      </c>
      <c r="H48" s="3" t="s">
        <v>282</v>
      </c>
      <c r="J48" s="7">
        <v>0.76900000000000002</v>
      </c>
      <c r="K48" s="10">
        <v>2024</v>
      </c>
      <c r="L48" s="3" t="s">
        <v>561</v>
      </c>
      <c r="M48" s="16" t="s">
        <v>562</v>
      </c>
      <c r="N48" s="9" t="s">
        <v>563</v>
      </c>
      <c r="P48" s="7"/>
      <c r="Q48" s="10"/>
      <c r="R48" s="10"/>
      <c r="S48" s="3"/>
      <c r="T48" s="3"/>
    </row>
    <row r="49" spans="1:20" ht="37.5" customHeight="1" x14ac:dyDescent="0.25">
      <c r="B49" s="16" t="s">
        <v>318</v>
      </c>
      <c r="C49" s="16" t="s">
        <v>495</v>
      </c>
      <c r="E49" s="3">
        <v>13017.73</v>
      </c>
      <c r="F49" s="10">
        <v>2023</v>
      </c>
      <c r="G49" s="39" t="s">
        <v>80</v>
      </c>
      <c r="H49" s="3" t="s">
        <v>282</v>
      </c>
      <c r="J49" s="7"/>
      <c r="K49" s="10"/>
      <c r="L49" s="10"/>
      <c r="M49" s="3"/>
      <c r="N49" s="3"/>
      <c r="P49" s="7"/>
      <c r="Q49" s="10"/>
      <c r="R49" s="10"/>
      <c r="S49" s="3"/>
      <c r="T49" s="3"/>
    </row>
    <row r="50" spans="1:20" ht="87.5" x14ac:dyDescent="0.25">
      <c r="B50" s="16" t="s">
        <v>318</v>
      </c>
      <c r="C50" s="16" t="s">
        <v>488</v>
      </c>
      <c r="E50" s="3">
        <v>76966.34</v>
      </c>
      <c r="F50" s="10">
        <v>2023</v>
      </c>
      <c r="G50" s="39" t="s">
        <v>80</v>
      </c>
      <c r="H50" s="3" t="s">
        <v>282</v>
      </c>
      <c r="J50" s="7">
        <v>0.05</v>
      </c>
      <c r="K50" s="10">
        <v>2024</v>
      </c>
      <c r="L50" s="94" t="s">
        <v>450</v>
      </c>
      <c r="M50" s="3" t="s">
        <v>564</v>
      </c>
      <c r="N50" s="9" t="s">
        <v>565</v>
      </c>
      <c r="P50" s="7"/>
      <c r="Q50" s="10"/>
      <c r="R50" s="10"/>
      <c r="S50" s="3"/>
      <c r="T50" s="3"/>
    </row>
    <row r="51" spans="1:20" ht="37.5" x14ac:dyDescent="0.25">
      <c r="B51" s="16" t="s">
        <v>318</v>
      </c>
      <c r="C51" s="16" t="s">
        <v>499</v>
      </c>
      <c r="E51" s="3">
        <v>414610.71</v>
      </c>
      <c r="F51" s="10">
        <v>2023</v>
      </c>
      <c r="G51" s="39" t="s">
        <v>80</v>
      </c>
      <c r="H51" s="3" t="s">
        <v>282</v>
      </c>
      <c r="J51" s="7"/>
      <c r="K51" s="10"/>
      <c r="L51" s="10"/>
      <c r="M51" s="3"/>
      <c r="N51" s="3"/>
      <c r="P51" s="7"/>
      <c r="Q51" s="10"/>
      <c r="R51" s="10"/>
      <c r="S51" s="3"/>
      <c r="T51" s="3"/>
    </row>
    <row r="52" spans="1:20" ht="87.5" x14ac:dyDescent="0.25">
      <c r="B52" s="16" t="s">
        <v>242</v>
      </c>
      <c r="C52" s="16" t="s">
        <v>495</v>
      </c>
      <c r="E52" s="3">
        <v>193364.24</v>
      </c>
      <c r="F52" s="10">
        <v>2023</v>
      </c>
      <c r="G52" s="39" t="s">
        <v>80</v>
      </c>
      <c r="H52" s="3" t="s">
        <v>282</v>
      </c>
      <c r="J52" s="7">
        <v>0.96599999999999997</v>
      </c>
      <c r="K52" s="10">
        <v>2020</v>
      </c>
      <c r="L52" s="3" t="s">
        <v>323</v>
      </c>
      <c r="M52" s="3" t="s">
        <v>543</v>
      </c>
      <c r="N52" s="9" t="s">
        <v>544</v>
      </c>
      <c r="P52" s="7"/>
      <c r="Q52" s="10"/>
      <c r="R52" s="10"/>
      <c r="S52" s="3"/>
      <c r="T52" s="9"/>
    </row>
    <row r="53" spans="1:20" ht="76.5" customHeight="1" x14ac:dyDescent="0.25">
      <c r="B53" s="16" t="s">
        <v>242</v>
      </c>
      <c r="C53" s="16" t="s">
        <v>488</v>
      </c>
      <c r="E53" s="3">
        <v>724035.27</v>
      </c>
      <c r="F53" s="10">
        <v>2023</v>
      </c>
      <c r="G53" s="39" t="s">
        <v>80</v>
      </c>
      <c r="H53" s="3" t="s">
        <v>282</v>
      </c>
      <c r="J53" s="20">
        <v>0.64</v>
      </c>
      <c r="K53" s="19">
        <v>2024</v>
      </c>
      <c r="L53" s="19" t="s">
        <v>453</v>
      </c>
      <c r="M53" s="3" t="s">
        <v>566</v>
      </c>
      <c r="N53" s="9" t="s">
        <v>567</v>
      </c>
      <c r="P53" s="7"/>
      <c r="Q53" s="10"/>
      <c r="R53" s="10"/>
      <c r="S53" s="3"/>
      <c r="T53" s="9"/>
    </row>
    <row r="54" spans="1:20" ht="100" x14ac:dyDescent="0.25">
      <c r="B54" s="16" t="s">
        <v>242</v>
      </c>
      <c r="C54" s="16" t="s">
        <v>499</v>
      </c>
      <c r="E54" s="3">
        <v>7268638.79</v>
      </c>
      <c r="F54" s="10">
        <v>2023</v>
      </c>
      <c r="G54" s="39" t="s">
        <v>80</v>
      </c>
      <c r="H54" s="3" t="s">
        <v>282</v>
      </c>
      <c r="J54" s="20">
        <v>9.9000000000000005E-2</v>
      </c>
      <c r="K54" s="19">
        <v>2020</v>
      </c>
      <c r="L54" s="3" t="s">
        <v>568</v>
      </c>
      <c r="M54" s="3" t="s">
        <v>543</v>
      </c>
      <c r="N54" s="9" t="s">
        <v>544</v>
      </c>
      <c r="P54" s="7"/>
      <c r="Q54" s="10"/>
      <c r="R54" s="10"/>
      <c r="S54" s="3"/>
      <c r="T54" s="9"/>
    </row>
    <row r="55" spans="1:20" ht="212.5" x14ac:dyDescent="0.25">
      <c r="A55" s="13"/>
      <c r="B55" s="3" t="s">
        <v>72</v>
      </c>
      <c r="C55" s="3" t="s">
        <v>495</v>
      </c>
      <c r="E55" s="3">
        <v>74518.009999999995</v>
      </c>
      <c r="F55" s="10">
        <v>2023</v>
      </c>
      <c r="G55" s="39" t="s">
        <v>80</v>
      </c>
      <c r="H55" s="3" t="s">
        <v>282</v>
      </c>
      <c r="J55" s="7">
        <v>0.72</v>
      </c>
      <c r="K55" s="10">
        <v>2015</v>
      </c>
      <c r="L55" s="3" t="s">
        <v>569</v>
      </c>
      <c r="M55" s="3" t="s">
        <v>570</v>
      </c>
      <c r="N55" s="9" t="s">
        <v>571</v>
      </c>
      <c r="P55" s="82">
        <v>0.60606060606060608</v>
      </c>
      <c r="Q55" s="10" t="s">
        <v>572</v>
      </c>
      <c r="R55" s="79" t="s">
        <v>333</v>
      </c>
      <c r="S55" s="3" t="s">
        <v>573</v>
      </c>
      <c r="T55" s="9" t="s">
        <v>574</v>
      </c>
    </row>
    <row r="56" spans="1:20" ht="162.5" x14ac:dyDescent="0.25">
      <c r="A56" s="13"/>
      <c r="B56" s="3" t="s">
        <v>72</v>
      </c>
      <c r="C56" s="3" t="s">
        <v>488</v>
      </c>
      <c r="E56" s="3">
        <v>126504.39</v>
      </c>
      <c r="F56" s="10">
        <v>2023</v>
      </c>
      <c r="G56" s="39" t="s">
        <v>80</v>
      </c>
      <c r="H56" s="3" t="s">
        <v>282</v>
      </c>
      <c r="J56" s="7"/>
      <c r="K56" s="10"/>
      <c r="L56" s="10"/>
      <c r="M56" s="3"/>
      <c r="N56" s="9"/>
      <c r="P56" s="82">
        <v>0.35359116022099446</v>
      </c>
      <c r="Q56" s="10" t="s">
        <v>572</v>
      </c>
      <c r="R56" s="91" t="s">
        <v>466</v>
      </c>
      <c r="S56" s="3" t="s">
        <v>573</v>
      </c>
      <c r="T56" s="9" t="s">
        <v>574</v>
      </c>
    </row>
    <row r="57" spans="1:20" ht="175" x14ac:dyDescent="0.25">
      <c r="B57" s="3" t="s">
        <v>72</v>
      </c>
      <c r="C57" s="3" t="s">
        <v>499</v>
      </c>
      <c r="E57" s="3">
        <v>800000</v>
      </c>
      <c r="F57" s="10">
        <v>2018</v>
      </c>
      <c r="G57" s="39" t="s">
        <v>73</v>
      </c>
      <c r="H57" s="9" t="s">
        <v>575</v>
      </c>
      <c r="J57" s="7"/>
      <c r="K57" s="10"/>
      <c r="L57" s="10"/>
      <c r="M57" s="3"/>
      <c r="N57" s="9"/>
      <c r="P57" s="82">
        <v>0.30290010741138562</v>
      </c>
      <c r="Q57" s="10" t="s">
        <v>572</v>
      </c>
      <c r="R57" s="91" t="s">
        <v>403</v>
      </c>
      <c r="S57" s="3" t="s">
        <v>573</v>
      </c>
      <c r="T57" s="9" t="s">
        <v>574</v>
      </c>
    </row>
    <row r="58" spans="1:20" ht="50" x14ac:dyDescent="0.25">
      <c r="A58" s="14"/>
      <c r="B58" s="3" t="s">
        <v>334</v>
      </c>
      <c r="C58" s="3" t="s">
        <v>495</v>
      </c>
      <c r="E58" s="3">
        <v>68287.06</v>
      </c>
      <c r="F58" s="10">
        <v>2023</v>
      </c>
      <c r="G58" s="39" t="s">
        <v>80</v>
      </c>
      <c r="H58" s="3" t="s">
        <v>282</v>
      </c>
      <c r="J58" s="7">
        <v>0.78</v>
      </c>
      <c r="K58" s="10">
        <v>2023</v>
      </c>
      <c r="L58" s="3" t="s">
        <v>405</v>
      </c>
      <c r="M58" s="39" t="s">
        <v>576</v>
      </c>
      <c r="N58" s="9" t="s">
        <v>577</v>
      </c>
      <c r="P58" s="7"/>
      <c r="Q58" s="10"/>
      <c r="R58" s="10"/>
      <c r="S58" s="3"/>
      <c r="T58" s="3"/>
    </row>
    <row r="59" spans="1:20" ht="51.75" customHeight="1" x14ac:dyDescent="0.25">
      <c r="A59" s="14"/>
      <c r="B59" s="3" t="s">
        <v>334</v>
      </c>
      <c r="C59" s="3" t="s">
        <v>488</v>
      </c>
      <c r="E59" s="3">
        <v>154603.1</v>
      </c>
      <c r="F59" s="10">
        <v>2023</v>
      </c>
      <c r="G59" s="39" t="s">
        <v>80</v>
      </c>
      <c r="H59" s="3" t="s">
        <v>282</v>
      </c>
      <c r="J59" s="7">
        <v>0.77</v>
      </c>
      <c r="K59" s="10">
        <v>2023</v>
      </c>
      <c r="L59" s="3" t="s">
        <v>405</v>
      </c>
      <c r="M59" s="39" t="s">
        <v>576</v>
      </c>
      <c r="N59" s="9" t="s">
        <v>577</v>
      </c>
      <c r="P59" s="7"/>
      <c r="Q59" s="10"/>
      <c r="R59" s="10"/>
      <c r="S59" s="3"/>
      <c r="T59" s="3"/>
    </row>
    <row r="60" spans="1:20" ht="48.75" customHeight="1" x14ac:dyDescent="0.25">
      <c r="A60" s="14"/>
      <c r="B60" s="3" t="s">
        <v>334</v>
      </c>
      <c r="C60" s="3" t="s">
        <v>499</v>
      </c>
      <c r="E60" s="3">
        <v>1231576.52</v>
      </c>
      <c r="F60" s="10">
        <v>2023</v>
      </c>
      <c r="G60" s="39" t="s">
        <v>80</v>
      </c>
      <c r="H60" s="3" t="s">
        <v>282</v>
      </c>
      <c r="J60" s="7">
        <v>0.82</v>
      </c>
      <c r="K60" s="10">
        <v>2023</v>
      </c>
      <c r="L60" s="3" t="s">
        <v>405</v>
      </c>
      <c r="M60" s="39" t="s">
        <v>576</v>
      </c>
      <c r="N60" s="9" t="s">
        <v>577</v>
      </c>
      <c r="P60" s="7"/>
      <c r="Q60" s="10"/>
      <c r="R60" s="10"/>
      <c r="S60" s="3"/>
      <c r="T60" s="3"/>
    </row>
    <row r="61" spans="1:20" ht="62.5" x14ac:dyDescent="0.25">
      <c r="A61" s="14"/>
      <c r="B61" s="16" t="s">
        <v>411</v>
      </c>
      <c r="C61" s="16" t="s">
        <v>495</v>
      </c>
      <c r="E61" s="3">
        <v>26871.56</v>
      </c>
      <c r="F61" s="10">
        <v>2023</v>
      </c>
      <c r="G61" s="39" t="s">
        <v>80</v>
      </c>
      <c r="H61" s="3" t="s">
        <v>282</v>
      </c>
      <c r="J61" s="82">
        <v>0.13824632296286149</v>
      </c>
      <c r="K61" s="10">
        <v>2020</v>
      </c>
      <c r="L61" s="89" t="s">
        <v>343</v>
      </c>
      <c r="M61" s="39" t="s">
        <v>578</v>
      </c>
      <c r="N61" s="9" t="s">
        <v>579</v>
      </c>
      <c r="P61" s="7"/>
      <c r="Q61" s="10"/>
      <c r="R61" s="10"/>
      <c r="S61" s="3"/>
      <c r="T61" s="3"/>
    </row>
    <row r="62" spans="1:20" ht="62.5" x14ac:dyDescent="0.25">
      <c r="A62" s="14"/>
      <c r="B62" s="16" t="s">
        <v>411</v>
      </c>
      <c r="C62" s="16" t="s">
        <v>488</v>
      </c>
      <c r="E62" s="3">
        <v>213371.39</v>
      </c>
      <c r="F62" s="10">
        <v>2023</v>
      </c>
      <c r="G62" s="39" t="s">
        <v>80</v>
      </c>
      <c r="H62" s="3" t="s">
        <v>282</v>
      </c>
      <c r="J62" s="82">
        <f>615988/926551</f>
        <v>0.66481823450624955</v>
      </c>
      <c r="K62" s="10">
        <v>2020</v>
      </c>
      <c r="L62" s="89" t="s">
        <v>343</v>
      </c>
      <c r="M62" s="39" t="s">
        <v>578</v>
      </c>
      <c r="N62" s="9" t="s">
        <v>579</v>
      </c>
      <c r="P62" s="7"/>
      <c r="Q62" s="10"/>
      <c r="R62" s="10"/>
      <c r="S62" s="3"/>
      <c r="T62" s="3"/>
    </row>
    <row r="63" spans="1:20" ht="62.5" x14ac:dyDescent="0.25">
      <c r="A63" s="14"/>
      <c r="B63" s="16" t="s">
        <v>411</v>
      </c>
      <c r="C63" s="16" t="s">
        <v>499</v>
      </c>
      <c r="E63" s="3">
        <v>1349476.82</v>
      </c>
      <c r="F63" s="10">
        <v>2023</v>
      </c>
      <c r="G63" s="39" t="s">
        <v>80</v>
      </c>
      <c r="H63" s="3" t="s">
        <v>282</v>
      </c>
      <c r="J63" s="82">
        <v>0.13898995787713619</v>
      </c>
      <c r="K63" s="10">
        <v>2020</v>
      </c>
      <c r="L63" s="89" t="s">
        <v>343</v>
      </c>
      <c r="M63" s="39" t="s">
        <v>578</v>
      </c>
      <c r="N63" s="9" t="s">
        <v>579</v>
      </c>
      <c r="P63" s="7"/>
      <c r="Q63" s="10"/>
      <c r="R63" s="10"/>
      <c r="S63" s="3"/>
      <c r="T63" s="3"/>
    </row>
    <row r="64" spans="1:20" ht="37.5" x14ac:dyDescent="0.25">
      <c r="B64" s="16" t="s">
        <v>337</v>
      </c>
      <c r="C64" s="16" t="s">
        <v>495</v>
      </c>
      <c r="E64" s="3">
        <v>21723.53</v>
      </c>
      <c r="F64" s="10">
        <v>2023</v>
      </c>
      <c r="G64" s="39" t="s">
        <v>80</v>
      </c>
      <c r="H64" s="3" t="s">
        <v>282</v>
      </c>
      <c r="J64" s="7">
        <v>0.84</v>
      </c>
      <c r="K64" s="10">
        <v>2023</v>
      </c>
      <c r="L64" s="3" t="s">
        <v>338</v>
      </c>
      <c r="M64" s="3" t="s">
        <v>580</v>
      </c>
      <c r="N64" s="9" t="s">
        <v>581</v>
      </c>
      <c r="P64" s="7"/>
      <c r="Q64" s="10"/>
      <c r="R64" s="10"/>
      <c r="S64" s="3"/>
      <c r="T64" s="3"/>
    </row>
    <row r="65" spans="2:20" ht="37.5" x14ac:dyDescent="0.25">
      <c r="B65" s="16" t="s">
        <v>337</v>
      </c>
      <c r="C65" s="16" t="s">
        <v>488</v>
      </c>
      <c r="E65" s="3">
        <v>84517.15</v>
      </c>
      <c r="F65" s="10">
        <v>2023</v>
      </c>
      <c r="G65" s="39" t="s">
        <v>80</v>
      </c>
      <c r="H65" s="3" t="s">
        <v>282</v>
      </c>
      <c r="J65" s="7">
        <v>0.93</v>
      </c>
      <c r="K65" s="10">
        <v>2023</v>
      </c>
      <c r="L65" s="3" t="s">
        <v>338</v>
      </c>
      <c r="M65" s="3" t="s">
        <v>580</v>
      </c>
      <c r="N65" s="9" t="s">
        <v>581</v>
      </c>
      <c r="P65" s="7"/>
      <c r="Q65" s="10"/>
      <c r="R65" s="10"/>
      <c r="S65" s="3"/>
      <c r="T65" s="3"/>
    </row>
    <row r="66" spans="2:20" ht="37.5" x14ac:dyDescent="0.25">
      <c r="B66" s="16" t="s">
        <v>337</v>
      </c>
      <c r="C66" s="16" t="s">
        <v>499</v>
      </c>
      <c r="E66" s="3">
        <v>300851.06</v>
      </c>
      <c r="F66" s="10">
        <v>2023</v>
      </c>
      <c r="G66" s="39" t="s">
        <v>80</v>
      </c>
      <c r="H66" s="3" t="s">
        <v>282</v>
      </c>
      <c r="J66" s="7">
        <v>0.96899999999999997</v>
      </c>
      <c r="K66" s="10">
        <v>2023</v>
      </c>
      <c r="L66" s="3" t="s">
        <v>338</v>
      </c>
      <c r="M66" s="3" t="s">
        <v>580</v>
      </c>
      <c r="N66" s="9" t="s">
        <v>581</v>
      </c>
      <c r="P66" s="7"/>
      <c r="Q66" s="10"/>
      <c r="R66" s="10"/>
      <c r="S66" s="3"/>
      <c r="T66" s="3"/>
    </row>
    <row r="67" spans="2:20" ht="75" x14ac:dyDescent="0.25">
      <c r="B67" s="16" t="s">
        <v>339</v>
      </c>
      <c r="C67" s="16" t="s">
        <v>495</v>
      </c>
      <c r="E67" s="3">
        <v>28820.93</v>
      </c>
      <c r="F67" s="10">
        <v>2023</v>
      </c>
      <c r="G67" s="39" t="s">
        <v>80</v>
      </c>
      <c r="H67" s="3" t="s">
        <v>282</v>
      </c>
      <c r="J67" s="7"/>
      <c r="K67" s="10"/>
      <c r="L67" s="3"/>
      <c r="M67" s="3"/>
      <c r="N67" s="9"/>
      <c r="P67" s="7">
        <v>0.86</v>
      </c>
      <c r="Q67" s="10">
        <v>2022</v>
      </c>
      <c r="R67" s="16" t="s">
        <v>292</v>
      </c>
      <c r="S67" s="3" t="s">
        <v>582</v>
      </c>
      <c r="T67" s="9" t="s">
        <v>583</v>
      </c>
    </row>
    <row r="68" spans="2:20" ht="50" x14ac:dyDescent="0.25">
      <c r="B68" s="16" t="s">
        <v>339</v>
      </c>
      <c r="C68" s="3" t="s">
        <v>488</v>
      </c>
      <c r="E68" s="3">
        <v>295856.95</v>
      </c>
      <c r="F68" s="10">
        <v>2023</v>
      </c>
      <c r="G68" s="39" t="s">
        <v>80</v>
      </c>
      <c r="H68" s="3" t="s">
        <v>282</v>
      </c>
      <c r="J68" s="7">
        <v>0.32</v>
      </c>
      <c r="K68" s="10">
        <v>2018</v>
      </c>
      <c r="L68" s="94" t="s">
        <v>446</v>
      </c>
      <c r="M68" s="3" t="s">
        <v>554</v>
      </c>
      <c r="N68" s="9" t="s">
        <v>555</v>
      </c>
      <c r="P68" s="7"/>
      <c r="Q68" s="10"/>
      <c r="R68" s="10"/>
      <c r="S68" s="3"/>
      <c r="T68" s="3"/>
    </row>
    <row r="69" spans="2:20" ht="62.5" x14ac:dyDescent="0.25">
      <c r="B69" s="16" t="s">
        <v>339</v>
      </c>
      <c r="C69" s="16" t="s">
        <v>499</v>
      </c>
      <c r="E69" s="3">
        <v>3230720.85</v>
      </c>
      <c r="F69" s="10">
        <v>2023</v>
      </c>
      <c r="G69" s="39" t="s">
        <v>80</v>
      </c>
      <c r="H69" s="3" t="s">
        <v>282</v>
      </c>
      <c r="J69" s="7">
        <v>0.97</v>
      </c>
      <c r="K69" s="10">
        <v>2023</v>
      </c>
      <c r="L69" s="91" t="s">
        <v>409</v>
      </c>
      <c r="M69" s="3" t="s">
        <v>584</v>
      </c>
      <c r="N69" s="9" t="s">
        <v>585</v>
      </c>
      <c r="P69" s="7"/>
      <c r="Q69" s="10"/>
      <c r="R69" s="10"/>
      <c r="S69" s="3"/>
      <c r="T69" s="3"/>
    </row>
    <row r="70" spans="2:20" ht="37.5" x14ac:dyDescent="0.25">
      <c r="B70" s="16" t="s">
        <v>325</v>
      </c>
      <c r="C70" s="16" t="s">
        <v>495</v>
      </c>
      <c r="E70" s="3">
        <v>4750.2299999999996</v>
      </c>
      <c r="F70" s="10">
        <v>2023</v>
      </c>
      <c r="G70" s="39" t="s">
        <v>80</v>
      </c>
      <c r="H70" s="3" t="s">
        <v>282</v>
      </c>
      <c r="J70" s="7"/>
      <c r="K70" s="10"/>
      <c r="L70" s="10"/>
      <c r="M70" s="3"/>
      <c r="N70" s="3"/>
      <c r="P70" s="7"/>
      <c r="Q70" s="10"/>
      <c r="R70" s="10"/>
      <c r="S70" s="3"/>
      <c r="T70" s="3"/>
    </row>
    <row r="71" spans="2:20" ht="62.5" x14ac:dyDescent="0.25">
      <c r="B71" s="16" t="s">
        <v>325</v>
      </c>
      <c r="C71" s="16" t="s">
        <v>488</v>
      </c>
      <c r="E71" s="3">
        <v>84707.47</v>
      </c>
      <c r="F71" s="10">
        <v>2023</v>
      </c>
      <c r="G71" s="39" t="s">
        <v>80</v>
      </c>
      <c r="H71" s="3" t="s">
        <v>282</v>
      </c>
      <c r="J71" s="7">
        <v>0.3</v>
      </c>
      <c r="K71" s="10" t="s">
        <v>586</v>
      </c>
      <c r="L71" s="10" t="s">
        <v>587</v>
      </c>
      <c r="M71" s="20" t="s">
        <v>588</v>
      </c>
      <c r="N71" s="3" t="s">
        <v>589</v>
      </c>
      <c r="P71" s="7"/>
      <c r="Q71" s="10"/>
      <c r="R71" s="10"/>
      <c r="S71" s="3"/>
      <c r="T71" s="3"/>
    </row>
    <row r="72" spans="2:20" ht="37.5" x14ac:dyDescent="0.25">
      <c r="B72" s="16" t="s">
        <v>325</v>
      </c>
      <c r="C72" s="16" t="s">
        <v>499</v>
      </c>
      <c r="E72" s="3">
        <v>1501457.81</v>
      </c>
      <c r="F72" s="10">
        <v>2023</v>
      </c>
      <c r="G72" s="39" t="s">
        <v>80</v>
      </c>
      <c r="H72" s="3" t="s">
        <v>282</v>
      </c>
      <c r="J72" s="7"/>
      <c r="K72" s="10"/>
      <c r="L72" s="10"/>
      <c r="M72" s="3"/>
      <c r="N72" s="3"/>
      <c r="P72" s="81">
        <v>0.82429189007448711</v>
      </c>
      <c r="Q72" s="10"/>
      <c r="R72" s="10" t="s">
        <v>590</v>
      </c>
      <c r="S72" s="16" t="s">
        <v>591</v>
      </c>
      <c r="T72" s="9" t="s">
        <v>592</v>
      </c>
    </row>
    <row r="73" spans="2:20" ht="37.5" x14ac:dyDescent="0.25">
      <c r="B73" s="16" t="s">
        <v>326</v>
      </c>
      <c r="C73" s="16" t="s">
        <v>495</v>
      </c>
      <c r="E73" s="3">
        <v>8705.1299999999992</v>
      </c>
      <c r="F73" s="10">
        <v>2023</v>
      </c>
      <c r="G73" s="39" t="s">
        <v>80</v>
      </c>
      <c r="H73" s="3" t="s">
        <v>282</v>
      </c>
      <c r="J73" s="7"/>
      <c r="K73" s="10"/>
      <c r="L73" s="10"/>
      <c r="M73" s="3"/>
      <c r="N73" s="3"/>
      <c r="P73" s="7"/>
      <c r="Q73" s="10"/>
      <c r="R73" s="10"/>
      <c r="S73" s="3"/>
      <c r="T73" s="3"/>
    </row>
    <row r="74" spans="2:20" ht="87.5" x14ac:dyDescent="0.25">
      <c r="B74" s="16" t="s">
        <v>326</v>
      </c>
      <c r="C74" s="3" t="s">
        <v>488</v>
      </c>
      <c r="E74" s="3">
        <v>140739.47</v>
      </c>
      <c r="F74" s="10">
        <v>2023</v>
      </c>
      <c r="G74" s="39" t="s">
        <v>80</v>
      </c>
      <c r="H74" s="3" t="s">
        <v>282</v>
      </c>
      <c r="J74" s="7">
        <v>0.21</v>
      </c>
      <c r="K74" s="10">
        <v>2018</v>
      </c>
      <c r="L74" s="10" t="s">
        <v>553</v>
      </c>
      <c r="M74" s="3" t="s">
        <v>554</v>
      </c>
      <c r="N74" s="9" t="s">
        <v>555</v>
      </c>
      <c r="P74" s="7"/>
      <c r="Q74" s="10"/>
      <c r="R74" s="10"/>
      <c r="S74" s="3"/>
      <c r="T74" s="3"/>
    </row>
    <row r="75" spans="2:20" ht="37.5" x14ac:dyDescent="0.25">
      <c r="B75" s="16" t="s">
        <v>326</v>
      </c>
      <c r="C75" s="16" t="s">
        <v>499</v>
      </c>
      <c r="E75" s="3">
        <v>4143898.86</v>
      </c>
      <c r="F75" s="10">
        <v>2023</v>
      </c>
      <c r="G75" s="39" t="s">
        <v>80</v>
      </c>
      <c r="H75" s="3" t="s">
        <v>282</v>
      </c>
      <c r="J75" s="7">
        <v>0.4</v>
      </c>
      <c r="K75" s="10">
        <v>2022</v>
      </c>
      <c r="L75" s="10" t="s">
        <v>398</v>
      </c>
      <c r="M75" s="3" t="s">
        <v>593</v>
      </c>
      <c r="N75" s="9" t="s">
        <v>594</v>
      </c>
      <c r="P75" s="7"/>
      <c r="Q75" s="10"/>
      <c r="R75" s="10"/>
      <c r="S75" s="3"/>
      <c r="T75" s="9"/>
    </row>
    <row r="76" spans="2:20" ht="62.5" x14ac:dyDescent="0.25">
      <c r="B76" s="16" t="s">
        <v>346</v>
      </c>
      <c r="C76" s="16" t="s">
        <v>495</v>
      </c>
      <c r="E76" s="3">
        <v>1400693</v>
      </c>
      <c r="F76" s="10">
        <v>2023</v>
      </c>
      <c r="G76" s="39" t="s">
        <v>595</v>
      </c>
      <c r="H76" s="9" t="s">
        <v>596</v>
      </c>
      <c r="J76" s="20"/>
      <c r="K76" s="19"/>
      <c r="L76" s="19"/>
      <c r="M76" s="3"/>
      <c r="N76" s="9"/>
      <c r="P76" s="20">
        <v>0.43</v>
      </c>
      <c r="Q76" s="19">
        <v>2024</v>
      </c>
      <c r="R76" s="3" t="s">
        <v>597</v>
      </c>
      <c r="S76" s="3" t="s">
        <v>595</v>
      </c>
      <c r="T76" s="9" t="s">
        <v>596</v>
      </c>
    </row>
    <row r="77" spans="2:20" ht="75" x14ac:dyDescent="0.25">
      <c r="B77" s="16" t="s">
        <v>346</v>
      </c>
      <c r="C77" s="16" t="s">
        <v>488</v>
      </c>
      <c r="E77" s="16">
        <v>2699781.7862399998</v>
      </c>
      <c r="F77" s="10">
        <v>2023</v>
      </c>
      <c r="G77" s="39" t="s">
        <v>134</v>
      </c>
      <c r="H77" s="72" t="s">
        <v>135</v>
      </c>
      <c r="J77" s="7">
        <v>0.33</v>
      </c>
      <c r="K77" s="10">
        <v>2023</v>
      </c>
      <c r="L77" s="10" t="s">
        <v>598</v>
      </c>
      <c r="M77" s="3" t="s">
        <v>134</v>
      </c>
      <c r="N77" s="72" t="s">
        <v>135</v>
      </c>
      <c r="P77" s="7">
        <v>0.2</v>
      </c>
      <c r="Q77" s="10">
        <v>2022</v>
      </c>
      <c r="R77" s="10" t="s">
        <v>599</v>
      </c>
      <c r="S77" s="3" t="s">
        <v>595</v>
      </c>
      <c r="T77" s="72" t="s">
        <v>596</v>
      </c>
    </row>
    <row r="78" spans="2:20" ht="87.5" x14ac:dyDescent="0.25">
      <c r="B78" s="16" t="s">
        <v>346</v>
      </c>
      <c r="C78" s="16" t="s">
        <v>499</v>
      </c>
      <c r="E78" s="3">
        <v>11863396.02</v>
      </c>
      <c r="F78" s="10">
        <v>2023</v>
      </c>
      <c r="G78" s="39" t="s">
        <v>80</v>
      </c>
      <c r="H78" s="3" t="s">
        <v>282</v>
      </c>
      <c r="J78" s="23">
        <v>0.28000000000000003</v>
      </c>
      <c r="K78" s="10">
        <v>2021</v>
      </c>
      <c r="L78" s="98" t="s">
        <v>600</v>
      </c>
      <c r="M78" s="3" t="s">
        <v>601</v>
      </c>
      <c r="N78" s="72" t="s">
        <v>602</v>
      </c>
      <c r="P78" s="23"/>
      <c r="Q78" s="10"/>
      <c r="R78" s="98"/>
      <c r="S78" s="3"/>
      <c r="T78" s="72"/>
    </row>
    <row r="79" spans="2:20" ht="146.25" customHeight="1" x14ac:dyDescent="0.25">
      <c r="B79" s="16" t="s">
        <v>324</v>
      </c>
      <c r="C79" s="16" t="s">
        <v>495</v>
      </c>
      <c r="E79" s="3">
        <v>20795.560000000001</v>
      </c>
      <c r="F79" s="10">
        <v>2023</v>
      </c>
      <c r="G79" s="39" t="s">
        <v>80</v>
      </c>
      <c r="H79" s="3" t="s">
        <v>282</v>
      </c>
      <c r="J79" s="7"/>
      <c r="K79" s="10"/>
      <c r="L79" s="10"/>
      <c r="M79" s="3"/>
      <c r="N79" s="9"/>
      <c r="P79" s="7"/>
      <c r="Q79" s="10"/>
      <c r="R79" s="10"/>
      <c r="S79" s="3"/>
      <c r="T79" s="3"/>
    </row>
    <row r="80" spans="2:20" ht="50" x14ac:dyDescent="0.25">
      <c r="B80" s="16" t="s">
        <v>324</v>
      </c>
      <c r="C80" s="16" t="s">
        <v>488</v>
      </c>
      <c r="E80" s="3">
        <v>207097.65</v>
      </c>
      <c r="F80" s="10">
        <v>2023</v>
      </c>
      <c r="G80" s="39" t="s">
        <v>80</v>
      </c>
      <c r="H80" s="3" t="s">
        <v>282</v>
      </c>
      <c r="J80" s="7">
        <v>0.3</v>
      </c>
      <c r="K80" s="10">
        <v>2017</v>
      </c>
      <c r="L80" s="94" t="s">
        <v>455</v>
      </c>
      <c r="M80" s="3" t="s">
        <v>603</v>
      </c>
      <c r="N80" s="9" t="s">
        <v>604</v>
      </c>
      <c r="P80" s="7"/>
      <c r="Q80" s="10"/>
      <c r="R80" s="10"/>
      <c r="S80" s="3"/>
      <c r="T80" s="9"/>
    </row>
    <row r="81" spans="2:20" ht="50" x14ac:dyDescent="0.25">
      <c r="B81" s="16" t="s">
        <v>324</v>
      </c>
      <c r="C81" s="16" t="s">
        <v>499</v>
      </c>
      <c r="E81" s="3">
        <v>2510379.8199999998</v>
      </c>
      <c r="F81" s="10">
        <v>2023</v>
      </c>
      <c r="G81" s="39" t="s">
        <v>80</v>
      </c>
      <c r="H81" s="3" t="s">
        <v>282</v>
      </c>
      <c r="J81" s="81">
        <v>0.181411073564997</v>
      </c>
      <c r="K81" s="10">
        <v>2023</v>
      </c>
      <c r="L81" s="98" t="s">
        <v>605</v>
      </c>
      <c r="M81" s="3" t="s">
        <v>606</v>
      </c>
      <c r="N81" s="9" t="s">
        <v>607</v>
      </c>
      <c r="P81" s="7"/>
      <c r="Q81" s="10"/>
      <c r="R81" s="10"/>
      <c r="S81" s="3"/>
      <c r="T81" s="3"/>
    </row>
    <row r="82" spans="2:20" ht="62.5" x14ac:dyDescent="0.25">
      <c r="B82" s="16" t="s">
        <v>44</v>
      </c>
      <c r="C82" s="16" t="s">
        <v>495</v>
      </c>
      <c r="E82" s="3">
        <v>779000</v>
      </c>
      <c r="F82" s="10">
        <v>2022</v>
      </c>
      <c r="G82" s="3" t="s">
        <v>608</v>
      </c>
      <c r="H82" s="9" t="s">
        <v>609</v>
      </c>
      <c r="J82" s="7"/>
      <c r="K82" s="10"/>
      <c r="L82" s="10"/>
      <c r="M82" s="3"/>
      <c r="N82" s="9"/>
      <c r="P82" s="7">
        <v>0.745</v>
      </c>
      <c r="Q82" s="10">
        <v>2022</v>
      </c>
      <c r="R82" s="89" t="s">
        <v>305</v>
      </c>
      <c r="S82" s="3" t="s">
        <v>608</v>
      </c>
      <c r="T82" s="9" t="s">
        <v>609</v>
      </c>
    </row>
    <row r="83" spans="2:20" ht="87.5" x14ac:dyDescent="0.25">
      <c r="B83" s="16" t="s">
        <v>44</v>
      </c>
      <c r="C83" s="16" t="s">
        <v>488</v>
      </c>
      <c r="E83" s="3">
        <v>3110000</v>
      </c>
      <c r="F83" s="10">
        <v>2022</v>
      </c>
      <c r="G83" s="39" t="s">
        <v>610</v>
      </c>
      <c r="H83" s="9" t="s">
        <v>611</v>
      </c>
      <c r="J83" s="7">
        <v>0.75</v>
      </c>
      <c r="K83" s="10">
        <v>2022</v>
      </c>
      <c r="L83" s="97" t="s">
        <v>442</v>
      </c>
      <c r="M83" s="3" t="s">
        <v>610</v>
      </c>
      <c r="N83" s="9" t="s">
        <v>611</v>
      </c>
      <c r="P83" s="7">
        <v>0.61093247588424437</v>
      </c>
      <c r="Q83" s="10">
        <v>2022</v>
      </c>
      <c r="R83" s="10"/>
      <c r="S83" s="3" t="s">
        <v>610</v>
      </c>
      <c r="T83" s="72" t="s">
        <v>612</v>
      </c>
    </row>
    <row r="84" spans="2:20" ht="62.5" x14ac:dyDescent="0.25">
      <c r="B84" s="16" t="s">
        <v>44</v>
      </c>
      <c r="C84" s="16" t="s">
        <v>499</v>
      </c>
      <c r="E84" s="3">
        <v>18400000</v>
      </c>
      <c r="F84" s="10">
        <v>2022</v>
      </c>
      <c r="G84" s="39" t="s">
        <v>613</v>
      </c>
      <c r="H84" s="9" t="s">
        <v>614</v>
      </c>
      <c r="J84" s="7">
        <v>0.79700000000000004</v>
      </c>
      <c r="K84" s="10">
        <v>2022</v>
      </c>
      <c r="L84" s="91" t="s">
        <v>615</v>
      </c>
      <c r="M84" s="3" t="s">
        <v>613</v>
      </c>
      <c r="N84" s="9" t="s">
        <v>614</v>
      </c>
      <c r="P84" s="7"/>
      <c r="Q84" s="10"/>
      <c r="R84" s="10"/>
      <c r="S84" s="3"/>
      <c r="T84" s="3"/>
    </row>
    <row r="85" spans="2:20" ht="37.5" x14ac:dyDescent="0.25">
      <c r="B85" s="16" t="s">
        <v>279</v>
      </c>
      <c r="C85" s="16" t="s">
        <v>495</v>
      </c>
      <c r="E85" s="3">
        <v>8572.1</v>
      </c>
      <c r="F85" s="10">
        <v>2023</v>
      </c>
      <c r="G85" s="39" t="s">
        <v>80</v>
      </c>
      <c r="H85" s="3" t="s">
        <v>282</v>
      </c>
      <c r="J85" s="7"/>
      <c r="K85" s="10"/>
      <c r="L85" s="10"/>
      <c r="M85" s="3"/>
      <c r="N85" s="9"/>
      <c r="P85" s="20"/>
      <c r="Q85" s="19"/>
      <c r="R85" s="19"/>
      <c r="S85" s="16"/>
      <c r="T85" s="16"/>
    </row>
    <row r="86" spans="2:20" ht="37.5" x14ac:dyDescent="0.25">
      <c r="B86" s="16" t="s">
        <v>279</v>
      </c>
      <c r="C86" s="16" t="s">
        <v>488</v>
      </c>
      <c r="E86" s="3">
        <v>143332.07999999999</v>
      </c>
      <c r="F86" s="10">
        <v>2023</v>
      </c>
      <c r="G86" s="39" t="s">
        <v>80</v>
      </c>
      <c r="H86" s="3" t="s">
        <v>282</v>
      </c>
      <c r="J86" s="7"/>
      <c r="K86" s="10"/>
      <c r="L86" s="10"/>
      <c r="M86" s="3"/>
      <c r="N86" s="9"/>
      <c r="P86" s="7"/>
      <c r="Q86" s="10"/>
      <c r="R86" s="10"/>
      <c r="S86" s="3"/>
      <c r="T86" s="3"/>
    </row>
    <row r="87" spans="2:20" ht="50" x14ac:dyDescent="0.25">
      <c r="B87" s="16" t="s">
        <v>279</v>
      </c>
      <c r="C87" s="16" t="s">
        <v>499</v>
      </c>
      <c r="E87" s="3">
        <v>466568.47</v>
      </c>
      <c r="F87" s="10">
        <v>2023</v>
      </c>
      <c r="G87" s="39" t="s">
        <v>80</v>
      </c>
      <c r="H87" s="3" t="s">
        <v>282</v>
      </c>
      <c r="J87" s="7">
        <v>0.31</v>
      </c>
      <c r="K87" s="10" t="s">
        <v>616</v>
      </c>
      <c r="L87" s="98" t="s">
        <v>366</v>
      </c>
      <c r="M87" s="16" t="s">
        <v>617</v>
      </c>
      <c r="N87" s="9" t="s">
        <v>618</v>
      </c>
      <c r="P87" s="100"/>
      <c r="Q87" s="101"/>
      <c r="R87" s="102"/>
      <c r="S87" s="102"/>
      <c r="T87" s="103"/>
    </row>
    <row r="88" spans="2:20" ht="37.5" x14ac:dyDescent="0.25">
      <c r="B88" s="16" t="s">
        <v>154</v>
      </c>
      <c r="C88" s="16" t="s">
        <v>495</v>
      </c>
      <c r="E88" s="3">
        <v>4238.01</v>
      </c>
      <c r="F88" s="10">
        <v>2023</v>
      </c>
      <c r="G88" s="39" t="s">
        <v>80</v>
      </c>
      <c r="H88" s="3" t="s">
        <v>282</v>
      </c>
      <c r="J88" s="7"/>
      <c r="K88" s="10"/>
      <c r="L88" s="10"/>
      <c r="M88" s="3"/>
      <c r="N88" s="9"/>
      <c r="P88" s="7"/>
      <c r="Q88" s="10"/>
      <c r="R88" s="10"/>
      <c r="S88" s="3"/>
      <c r="T88" s="3"/>
    </row>
    <row r="89" spans="2:20" ht="37.5" x14ac:dyDescent="0.25">
      <c r="B89" s="16" t="s">
        <v>154</v>
      </c>
      <c r="C89" s="16" t="s">
        <v>488</v>
      </c>
      <c r="E89" s="3">
        <v>157531.5</v>
      </c>
      <c r="F89" s="10">
        <v>2023</v>
      </c>
      <c r="G89" s="39" t="s">
        <v>80</v>
      </c>
      <c r="H89" s="3" t="s">
        <v>282</v>
      </c>
      <c r="J89" s="7">
        <v>0.9</v>
      </c>
      <c r="K89" s="10"/>
      <c r="L89" s="10" t="s">
        <v>457</v>
      </c>
      <c r="M89" s="3" t="s">
        <v>155</v>
      </c>
      <c r="N89" s="9" t="s">
        <v>619</v>
      </c>
      <c r="O89" s="5"/>
      <c r="P89" s="3"/>
      <c r="Q89" s="10"/>
      <c r="R89" s="10"/>
      <c r="S89" s="3"/>
      <c r="T89" s="9"/>
    </row>
    <row r="90" spans="2:20" ht="37.5" x14ac:dyDescent="0.25">
      <c r="B90" s="16" t="s">
        <v>154</v>
      </c>
      <c r="C90" s="16" t="s">
        <v>499</v>
      </c>
      <c r="E90" s="3">
        <v>765115.9</v>
      </c>
      <c r="F90" s="10">
        <v>2023</v>
      </c>
      <c r="G90" s="39" t="s">
        <v>80</v>
      </c>
      <c r="H90" s="3" t="s">
        <v>282</v>
      </c>
      <c r="J90" s="7"/>
      <c r="K90" s="10"/>
      <c r="L90" s="10"/>
      <c r="M90" s="3"/>
      <c r="N90" s="9"/>
      <c r="P90" s="7"/>
      <c r="Q90" s="10"/>
      <c r="R90" s="10"/>
      <c r="S90" s="3"/>
      <c r="T90" s="3"/>
    </row>
    <row r="91" spans="2:20" ht="75" x14ac:dyDescent="0.25">
      <c r="B91" s="16" t="s">
        <v>291</v>
      </c>
      <c r="C91" s="16" t="s">
        <v>495</v>
      </c>
      <c r="E91" s="3">
        <v>39932.58</v>
      </c>
      <c r="F91" s="10">
        <v>2023</v>
      </c>
      <c r="G91" s="39" t="s">
        <v>80</v>
      </c>
      <c r="H91" s="3" t="s">
        <v>282</v>
      </c>
      <c r="J91" s="7"/>
      <c r="K91" s="28"/>
      <c r="L91" s="3"/>
      <c r="M91" s="16"/>
      <c r="N91" s="9"/>
      <c r="P91" s="7">
        <v>0.9</v>
      </c>
      <c r="Q91" s="28">
        <v>2022</v>
      </c>
      <c r="R91" s="16" t="s">
        <v>292</v>
      </c>
      <c r="S91" s="16" t="s">
        <v>620</v>
      </c>
      <c r="T91" s="9" t="s">
        <v>583</v>
      </c>
    </row>
    <row r="92" spans="2:20" ht="37.5" x14ac:dyDescent="0.25">
      <c r="B92" s="16" t="s">
        <v>291</v>
      </c>
      <c r="C92" s="16" t="s">
        <v>488</v>
      </c>
      <c r="E92" s="3">
        <v>25048.81</v>
      </c>
      <c r="F92" s="10">
        <v>2023</v>
      </c>
      <c r="G92" s="39" t="s">
        <v>80</v>
      </c>
      <c r="H92" s="3" t="s">
        <v>282</v>
      </c>
      <c r="J92" s="7"/>
      <c r="K92" s="28"/>
      <c r="L92" s="28"/>
      <c r="M92" s="39"/>
      <c r="N92" s="9"/>
      <c r="P92" s="7"/>
      <c r="Q92" s="10"/>
      <c r="R92" s="10"/>
      <c r="S92" s="3"/>
      <c r="T92" s="3"/>
    </row>
    <row r="93" spans="2:20" ht="37.5" x14ac:dyDescent="0.25">
      <c r="B93" s="16" t="s">
        <v>291</v>
      </c>
      <c r="C93" s="16" t="s">
        <v>499</v>
      </c>
      <c r="E93" s="3">
        <v>271741.74</v>
      </c>
      <c r="F93" s="10">
        <v>2023</v>
      </c>
      <c r="G93" s="39" t="s">
        <v>80</v>
      </c>
      <c r="H93" s="3" t="s">
        <v>282</v>
      </c>
      <c r="J93" s="7"/>
      <c r="K93" s="28"/>
      <c r="L93" s="28"/>
      <c r="M93" s="39"/>
      <c r="N93" s="9"/>
      <c r="P93" s="7"/>
      <c r="Q93" s="10"/>
      <c r="R93" s="10"/>
      <c r="S93" s="3"/>
      <c r="T93" s="3"/>
    </row>
    <row r="94" spans="2:20" ht="50" x14ac:dyDescent="0.25">
      <c r="B94" s="16" t="s">
        <v>329</v>
      </c>
      <c r="C94" s="16" t="s">
        <v>495</v>
      </c>
      <c r="E94" s="3">
        <v>65317.79</v>
      </c>
      <c r="F94" s="10">
        <v>2023</v>
      </c>
      <c r="G94" s="39" t="s">
        <v>80</v>
      </c>
      <c r="H94" s="3" t="s">
        <v>282</v>
      </c>
      <c r="J94" s="7">
        <v>0.51</v>
      </c>
      <c r="K94" s="10" t="s">
        <v>545</v>
      </c>
      <c r="L94" s="3" t="s">
        <v>330</v>
      </c>
      <c r="M94" s="3" t="s">
        <v>512</v>
      </c>
      <c r="N94" s="9" t="s">
        <v>513</v>
      </c>
      <c r="P94" s="7"/>
      <c r="Q94" s="10"/>
      <c r="R94" s="10"/>
      <c r="S94" s="3"/>
      <c r="T94" s="3"/>
    </row>
    <row r="95" spans="2:20" ht="37.5" x14ac:dyDescent="0.25">
      <c r="B95" s="16" t="s">
        <v>329</v>
      </c>
      <c r="C95" s="16" t="s">
        <v>488</v>
      </c>
      <c r="E95" s="3">
        <v>164266.60999999999</v>
      </c>
      <c r="F95" s="10">
        <v>2023</v>
      </c>
      <c r="G95" s="39" t="s">
        <v>80</v>
      </c>
      <c r="H95" s="3" t="s">
        <v>282</v>
      </c>
      <c r="J95" s="7"/>
      <c r="K95" s="10"/>
      <c r="L95" s="10"/>
      <c r="M95" s="3"/>
      <c r="N95" s="9"/>
      <c r="P95" s="7"/>
      <c r="Q95" s="10"/>
      <c r="R95" s="10"/>
      <c r="S95" s="3"/>
      <c r="T95" s="3"/>
    </row>
    <row r="96" spans="2:20" ht="37.5" x14ac:dyDescent="0.25">
      <c r="B96" s="16" t="s">
        <v>329</v>
      </c>
      <c r="C96" s="16" t="s">
        <v>499</v>
      </c>
      <c r="E96" s="3">
        <v>313848.64</v>
      </c>
      <c r="F96" s="10">
        <v>2023</v>
      </c>
      <c r="G96" s="39" t="s">
        <v>80</v>
      </c>
      <c r="H96" s="3" t="s">
        <v>282</v>
      </c>
      <c r="J96" s="7"/>
      <c r="K96" s="10"/>
      <c r="L96" s="10"/>
      <c r="M96" s="3"/>
      <c r="N96" s="9"/>
      <c r="P96" s="7"/>
      <c r="Q96" s="10"/>
      <c r="R96" s="10"/>
      <c r="S96" s="3"/>
      <c r="T96" s="3"/>
    </row>
    <row r="97" spans="2:20" ht="75" x14ac:dyDescent="0.25">
      <c r="B97" s="16" t="s">
        <v>345</v>
      </c>
      <c r="C97" s="16" t="s">
        <v>495</v>
      </c>
      <c r="E97" s="3">
        <v>9640.56</v>
      </c>
      <c r="F97" s="10">
        <v>2023</v>
      </c>
      <c r="G97" s="39" t="s">
        <v>80</v>
      </c>
      <c r="H97" s="3" t="s">
        <v>282</v>
      </c>
      <c r="J97" s="7"/>
      <c r="K97" s="10"/>
      <c r="L97" s="3"/>
      <c r="M97" s="3"/>
      <c r="N97" s="9"/>
      <c r="P97" s="7">
        <v>0.33</v>
      </c>
      <c r="Q97" s="10">
        <v>2022</v>
      </c>
      <c r="R97" s="16" t="s">
        <v>292</v>
      </c>
      <c r="S97" s="3" t="s">
        <v>582</v>
      </c>
      <c r="T97" s="9" t="s">
        <v>583</v>
      </c>
    </row>
    <row r="98" spans="2:20" ht="37.5" x14ac:dyDescent="0.25">
      <c r="B98" s="16" t="s">
        <v>345</v>
      </c>
      <c r="C98" s="16" t="s">
        <v>488</v>
      </c>
      <c r="E98" s="3">
        <v>61899.22</v>
      </c>
      <c r="F98" s="10">
        <v>2023</v>
      </c>
      <c r="G98" s="39" t="s">
        <v>80</v>
      </c>
      <c r="H98" s="3" t="s">
        <v>282</v>
      </c>
      <c r="J98" s="7"/>
      <c r="K98" s="10"/>
      <c r="L98" s="10"/>
      <c r="M98" s="16"/>
      <c r="N98" s="9"/>
      <c r="P98" s="7"/>
      <c r="Q98" s="10"/>
      <c r="R98" s="10"/>
      <c r="S98" s="3"/>
      <c r="T98" s="3"/>
    </row>
    <row r="99" spans="2:20" ht="37.5" x14ac:dyDescent="0.25">
      <c r="B99" s="16" t="s">
        <v>345</v>
      </c>
      <c r="C99" s="16" t="s">
        <v>499</v>
      </c>
      <c r="E99" s="3">
        <v>135889.5</v>
      </c>
      <c r="F99" s="10">
        <v>2023</v>
      </c>
      <c r="G99" s="39" t="s">
        <v>80</v>
      </c>
      <c r="H99" s="3" t="s">
        <v>282</v>
      </c>
      <c r="J99" s="7"/>
      <c r="K99" s="10"/>
      <c r="L99" s="98"/>
      <c r="M99" s="3"/>
      <c r="N99" s="9"/>
      <c r="P99" s="7">
        <v>0.1</v>
      </c>
      <c r="Q99" s="10">
        <v>2018</v>
      </c>
      <c r="R99" s="104" t="s">
        <v>414</v>
      </c>
      <c r="S99" s="3" t="s">
        <v>621</v>
      </c>
      <c r="T99" s="9" t="s">
        <v>622</v>
      </c>
    </row>
    <row r="100" spans="2:20" ht="37.5" x14ac:dyDescent="0.25">
      <c r="B100" s="16" t="s">
        <v>327</v>
      </c>
      <c r="C100" s="16" t="s">
        <v>495</v>
      </c>
      <c r="E100" s="3">
        <v>126914.58</v>
      </c>
      <c r="F100" s="10">
        <v>2023</v>
      </c>
      <c r="G100" s="39" t="s">
        <v>80</v>
      </c>
      <c r="H100" s="3" t="s">
        <v>282</v>
      </c>
      <c r="J100" s="7"/>
      <c r="K100" s="10"/>
      <c r="L100" s="10"/>
      <c r="M100" s="3"/>
      <c r="N100" s="9"/>
      <c r="P100" s="7"/>
      <c r="Q100" s="10"/>
      <c r="R100" s="10"/>
      <c r="S100" s="3"/>
      <c r="T100" s="3"/>
    </row>
    <row r="101" spans="2:20" ht="50" x14ac:dyDescent="0.25">
      <c r="B101" s="16" t="s">
        <v>327</v>
      </c>
      <c r="C101" s="16" t="s">
        <v>488</v>
      </c>
      <c r="E101" s="3">
        <v>368724.39</v>
      </c>
      <c r="F101" s="10">
        <v>2023</v>
      </c>
      <c r="G101" s="39" t="s">
        <v>80</v>
      </c>
      <c r="H101" s="3" t="s">
        <v>282</v>
      </c>
      <c r="J101" s="7">
        <v>7.8E-2</v>
      </c>
      <c r="K101" s="10">
        <v>2020</v>
      </c>
      <c r="L101" s="10" t="s">
        <v>463</v>
      </c>
      <c r="M101" s="3" t="s">
        <v>623</v>
      </c>
      <c r="N101" s="9" t="s">
        <v>624</v>
      </c>
      <c r="P101" s="7"/>
      <c r="Q101" s="10"/>
      <c r="R101" s="10"/>
      <c r="S101" s="3"/>
      <c r="T101" s="3"/>
    </row>
    <row r="102" spans="2:20" ht="50" x14ac:dyDescent="0.25">
      <c r="B102" s="16" t="s">
        <v>327</v>
      </c>
      <c r="C102" s="16" t="s">
        <v>499</v>
      </c>
      <c r="E102" s="3">
        <v>3961599.85</v>
      </c>
      <c r="F102" s="10">
        <v>2023</v>
      </c>
      <c r="G102" s="39" t="s">
        <v>80</v>
      </c>
      <c r="H102" s="3" t="s">
        <v>282</v>
      </c>
      <c r="J102" s="7">
        <v>0.23</v>
      </c>
      <c r="K102" s="10">
        <v>2020</v>
      </c>
      <c r="L102" s="10" t="s">
        <v>400</v>
      </c>
      <c r="M102" s="3" t="s">
        <v>625</v>
      </c>
      <c r="N102" s="9" t="s">
        <v>626</v>
      </c>
      <c r="P102" s="7"/>
      <c r="Q102" s="10"/>
      <c r="R102" s="10"/>
      <c r="S102" s="3"/>
      <c r="T102" s="3"/>
    </row>
    <row r="103" spans="2:20" ht="37.5" x14ac:dyDescent="0.25">
      <c r="B103" s="16" t="s">
        <v>303</v>
      </c>
      <c r="C103" s="16" t="s">
        <v>495</v>
      </c>
      <c r="E103" s="3">
        <v>9120.01</v>
      </c>
      <c r="F103" s="10">
        <v>2023</v>
      </c>
      <c r="G103" s="39" t="s">
        <v>80</v>
      </c>
      <c r="H103" s="3" t="s">
        <v>282</v>
      </c>
      <c r="J103" s="7"/>
      <c r="K103" s="10"/>
      <c r="L103" s="10"/>
      <c r="M103" s="3"/>
      <c r="N103" s="9"/>
      <c r="P103" s="7"/>
      <c r="Q103" s="10"/>
      <c r="R103" s="10"/>
      <c r="S103" s="3"/>
      <c r="T103" s="3"/>
    </row>
    <row r="104" spans="2:20" ht="62.5" x14ac:dyDescent="0.25">
      <c r="B104" s="16" t="s">
        <v>303</v>
      </c>
      <c r="C104" s="16" t="s">
        <v>488</v>
      </c>
      <c r="E104" s="3">
        <v>13651.58</v>
      </c>
      <c r="F104" s="10">
        <v>2023</v>
      </c>
      <c r="G104" s="39" t="s">
        <v>80</v>
      </c>
      <c r="H104" s="3" t="s">
        <v>282</v>
      </c>
      <c r="J104" s="7"/>
      <c r="K104" s="10"/>
      <c r="L104" s="10"/>
      <c r="M104" s="3"/>
      <c r="N104" s="9"/>
      <c r="P104" s="7">
        <v>0.35</v>
      </c>
      <c r="Q104" s="10" t="s">
        <v>538</v>
      </c>
      <c r="R104" s="94" t="s">
        <v>627</v>
      </c>
      <c r="S104" s="3" t="s">
        <v>628</v>
      </c>
      <c r="T104" s="9" t="s">
        <v>629</v>
      </c>
    </row>
    <row r="105" spans="2:20" ht="37.5" x14ac:dyDescent="0.25">
      <c r="B105" s="16" t="s">
        <v>303</v>
      </c>
      <c r="C105" s="16" t="s">
        <v>499</v>
      </c>
      <c r="E105" s="3">
        <v>1386684.53</v>
      </c>
      <c r="F105" s="10">
        <v>2023</v>
      </c>
      <c r="G105" s="39" t="s">
        <v>80</v>
      </c>
      <c r="H105" s="3" t="s">
        <v>282</v>
      </c>
      <c r="J105" s="7"/>
      <c r="K105" s="10"/>
      <c r="L105" s="10"/>
      <c r="M105" s="3"/>
      <c r="N105" s="9"/>
      <c r="P105" s="7"/>
      <c r="Q105" s="10"/>
      <c r="R105" s="10"/>
      <c r="S105" s="3"/>
      <c r="T105" s="3"/>
    </row>
    <row r="106" spans="2:20" ht="37.5" x14ac:dyDescent="0.25">
      <c r="B106" s="16" t="s">
        <v>321</v>
      </c>
      <c r="C106" s="3" t="s">
        <v>495</v>
      </c>
      <c r="E106" s="3">
        <v>18315.349999999999</v>
      </c>
      <c r="F106" s="10">
        <v>2023</v>
      </c>
      <c r="G106" s="39" t="s">
        <v>80</v>
      </c>
      <c r="H106" s="3" t="s">
        <v>282</v>
      </c>
      <c r="J106" s="7"/>
      <c r="K106" s="10"/>
      <c r="L106" s="10"/>
      <c r="M106" s="10"/>
      <c r="N106" s="9"/>
      <c r="P106" s="7"/>
      <c r="Q106" s="10"/>
      <c r="R106" s="10"/>
      <c r="S106" s="3"/>
      <c r="T106" s="3"/>
    </row>
    <row r="107" spans="2:20" ht="87.5" x14ac:dyDescent="0.25">
      <c r="B107" s="16" t="s">
        <v>321</v>
      </c>
      <c r="C107" s="3" t="s">
        <v>488</v>
      </c>
      <c r="E107" s="3">
        <v>43792.54</v>
      </c>
      <c r="F107" s="10">
        <v>2023</v>
      </c>
      <c r="G107" s="39" t="s">
        <v>80</v>
      </c>
      <c r="H107" s="3" t="s">
        <v>282</v>
      </c>
      <c r="J107" s="7">
        <v>0.16</v>
      </c>
      <c r="K107" s="10">
        <v>2018</v>
      </c>
      <c r="L107" s="10" t="s">
        <v>553</v>
      </c>
      <c r="M107" s="3" t="s">
        <v>554</v>
      </c>
      <c r="N107" s="9" t="s">
        <v>555</v>
      </c>
      <c r="P107" s="7"/>
      <c r="Q107" s="10"/>
      <c r="R107" s="10"/>
      <c r="S107" s="3"/>
      <c r="T107" s="3"/>
    </row>
    <row r="108" spans="2:20" ht="50" x14ac:dyDescent="0.25">
      <c r="B108" s="16" t="s">
        <v>321</v>
      </c>
      <c r="C108" s="3" t="s">
        <v>499</v>
      </c>
      <c r="E108" s="3">
        <v>140424.37</v>
      </c>
      <c r="F108" s="10">
        <v>2023</v>
      </c>
      <c r="G108" s="39" t="s">
        <v>80</v>
      </c>
      <c r="H108" s="3" t="s">
        <v>282</v>
      </c>
      <c r="J108" s="84">
        <v>8.9886847810592502E-2</v>
      </c>
      <c r="K108" s="10">
        <v>2018</v>
      </c>
      <c r="L108" s="3" t="s">
        <v>630</v>
      </c>
      <c r="M108" s="79" t="s">
        <v>631</v>
      </c>
      <c r="N108" s="9" t="s">
        <v>632</v>
      </c>
      <c r="P108" s="7"/>
      <c r="Q108" s="10"/>
      <c r="R108" s="10"/>
      <c r="S108" s="3"/>
      <c r="T108" s="3"/>
    </row>
    <row r="109" spans="2:20" ht="37.5" x14ac:dyDescent="0.25">
      <c r="B109" s="3" t="s">
        <v>313</v>
      </c>
      <c r="C109" s="16" t="s">
        <v>495</v>
      </c>
      <c r="E109" s="3">
        <v>13097</v>
      </c>
      <c r="F109" s="10">
        <v>2023</v>
      </c>
      <c r="G109" s="39" t="s">
        <v>80</v>
      </c>
      <c r="H109" s="3" t="s">
        <v>282</v>
      </c>
      <c r="J109" s="7">
        <v>0.68</v>
      </c>
      <c r="K109" s="10">
        <v>2023</v>
      </c>
      <c r="L109" s="3" t="s">
        <v>388</v>
      </c>
      <c r="M109" s="3" t="s">
        <v>633</v>
      </c>
      <c r="N109" s="9" t="s">
        <v>634</v>
      </c>
      <c r="P109" s="7"/>
      <c r="Q109" s="10"/>
      <c r="R109" s="10"/>
      <c r="S109" s="3"/>
      <c r="T109" s="3"/>
    </row>
    <row r="110" spans="2:20" ht="37.5" x14ac:dyDescent="0.25">
      <c r="B110" s="3" t="s">
        <v>313</v>
      </c>
      <c r="C110" s="16" t="s">
        <v>488</v>
      </c>
      <c r="E110" s="3">
        <v>35632.559999999998</v>
      </c>
      <c r="F110" s="10">
        <v>2023</v>
      </c>
      <c r="G110" s="39" t="s">
        <v>80</v>
      </c>
      <c r="H110" s="3" t="s">
        <v>282</v>
      </c>
      <c r="J110" s="7">
        <v>0.68</v>
      </c>
      <c r="K110" s="10">
        <v>2023</v>
      </c>
      <c r="L110" s="3" t="s">
        <v>388</v>
      </c>
      <c r="M110" s="3" t="s">
        <v>633</v>
      </c>
      <c r="N110" s="9" t="s">
        <v>634</v>
      </c>
      <c r="P110" s="7"/>
      <c r="Q110" s="10"/>
      <c r="R110" s="10"/>
      <c r="S110" s="3"/>
      <c r="T110" s="3"/>
    </row>
    <row r="111" spans="2:20" ht="37.5" x14ac:dyDescent="0.25">
      <c r="B111" s="3" t="s">
        <v>313</v>
      </c>
      <c r="C111" s="16" t="s">
        <v>499</v>
      </c>
      <c r="E111" s="3">
        <v>270665.03999999998</v>
      </c>
      <c r="F111" s="10">
        <v>2023</v>
      </c>
      <c r="G111" s="39" t="s">
        <v>80</v>
      </c>
      <c r="H111" s="3" t="s">
        <v>282</v>
      </c>
      <c r="J111" s="7">
        <v>0.68</v>
      </c>
      <c r="K111" s="10">
        <v>2023</v>
      </c>
      <c r="L111" s="3" t="s">
        <v>388</v>
      </c>
      <c r="M111" s="3" t="s">
        <v>633</v>
      </c>
      <c r="N111" s="9" t="s">
        <v>634</v>
      </c>
      <c r="P111" s="7"/>
      <c r="Q111" s="10"/>
      <c r="R111" s="10"/>
      <c r="S111" s="3"/>
      <c r="T111" s="3"/>
    </row>
    <row r="112" spans="2:20" x14ac:dyDescent="0.25">
      <c r="F112"/>
      <c r="J112"/>
      <c r="K112"/>
      <c r="L112"/>
      <c r="Q112"/>
      <c r="R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spans="6:18" x14ac:dyDescent="0.25">
      <c r="F161"/>
      <c r="J161"/>
      <c r="K161"/>
      <c r="L161"/>
      <c r="Q161"/>
      <c r="R161"/>
    </row>
    <row r="162" spans="6:18" x14ac:dyDescent="0.25">
      <c r="F162"/>
      <c r="J162"/>
      <c r="K162"/>
      <c r="L162"/>
      <c r="Q162"/>
      <c r="R162"/>
    </row>
    <row r="163" spans="6:18" x14ac:dyDescent="0.25">
      <c r="F163"/>
      <c r="J163"/>
      <c r="K163"/>
      <c r="L163"/>
      <c r="Q163"/>
      <c r="R163"/>
    </row>
    <row r="168" spans="6:18" x14ac:dyDescent="0.25">
      <c r="Q168"/>
      <c r="R168"/>
    </row>
    <row r="169" spans="6:18" x14ac:dyDescent="0.25">
      <c r="P169" s="58"/>
      <c r="Q169" s="58"/>
      <c r="R169" s="58"/>
    </row>
    <row r="174" spans="6:18" x14ac:dyDescent="0.25">
      <c r="M174" s="36"/>
    </row>
  </sheetData>
  <autoFilter ref="A6:T163" xr:uid="{00000000-0001-0000-0700-000000000000}"/>
  <mergeCells count="3">
    <mergeCell ref="P5:T5"/>
    <mergeCell ref="J5:N5"/>
    <mergeCell ref="E5:H5"/>
  </mergeCells>
  <phoneticPr fontId="31" type="noConversion"/>
  <conditionalFormatting sqref="E1:E4 I1:I111 O1:O111 E164:E1048576 I164:I1048576 O164:O1048576">
    <cfRule type="cellIs" dxfId="0" priority="262" operator="equal">
      <formula>"Data gap"</formula>
    </cfRule>
  </conditionalFormatting>
  <hyperlinks>
    <hyperlink ref="T19" r:id="rId1" xr:uid="{7BA76863-AE2E-48B0-99BA-9B570D50E9F1}"/>
    <hyperlink ref="T20" r:id="rId2" xr:uid="{7E916138-0E37-4959-A652-95E69872A024}"/>
    <hyperlink ref="T21" r:id="rId3" xr:uid="{EFD24BB9-FF08-4047-BDAD-08BBB8FA3E7C}"/>
    <hyperlink ref="N13" r:id="rId4" display="https://www.reloopplatform.org/wp-content/uploads/2024/06/Global_Recycling_League_Table_Phase_1_Report.pdf" xr:uid="{D770AECD-CF6E-40CC-AFC3-65CFD533EB8E}"/>
    <hyperlink ref="N64" r:id="rId5" xr:uid="{93061487-263B-4890-8A0F-0AFE8988ED02}"/>
    <hyperlink ref="N65" r:id="rId6" xr:uid="{88F3F7A8-F5B9-4A81-AD8A-DFE1D7A178A4}"/>
    <hyperlink ref="N66" r:id="rId7" xr:uid="{5F45E4F4-B39A-4694-99D9-5BA0F6FF7212}"/>
    <hyperlink ref="N69" r:id="rId8" xr:uid="{D1074CAD-318A-47D1-A89C-C945DA0203D6}"/>
    <hyperlink ref="N22" r:id="rId9" xr:uid="{9FCD94D5-B1B1-47D7-B4F2-EA3F15C47F44}"/>
    <hyperlink ref="N23" r:id="rId10" xr:uid="{F7AAB511-33D1-4590-B53D-A32EB3491107}"/>
    <hyperlink ref="N24" r:id="rId11" xr:uid="{CE4CA0AD-6A9A-4107-BD84-B86A9A542DA4}"/>
    <hyperlink ref="N77" r:id="rId12" xr:uid="{AAB5103F-2C96-47E4-A7CE-073F60068FAA}"/>
    <hyperlink ref="N53" r:id="rId13" xr:uid="{B09CE218-E7C0-47D1-A445-ACE53315F7CC}"/>
    <hyperlink ref="N80" r:id="rId14" xr:uid="{CCB8B9DD-273B-4C8F-9638-FAA4C324A44D}"/>
    <hyperlink ref="N81" r:id="rId15" display="https://www.fbranigeria.ng/fbra-q4-2023-newsletter/" xr:uid="{7F76574B-30C4-4FE6-8FDF-7E67B9B828A2}"/>
    <hyperlink ref="T83" r:id="rId16" xr:uid="{D6F95233-8C74-47A5-928B-43BA21DB88B3}"/>
    <hyperlink ref="N19" r:id="rId17" xr:uid="{6C2F594B-18A3-4EC7-B9A9-13D9CCB68F5B}"/>
    <hyperlink ref="T55" r:id="rId18" xr:uid="{CFACDEE2-7EF7-4740-BB67-20FBF3535046}"/>
    <hyperlink ref="T56" r:id="rId19" xr:uid="{0096CB56-4738-43A4-BBA0-A1CBBC41FB35}"/>
    <hyperlink ref="T57" r:id="rId20" xr:uid="{2558AFAA-22DC-4B6B-9B59-B123066CFFF4}"/>
    <hyperlink ref="N61:N63" r:id="rId21" display="https://cygm.csb.gov.tr/dongusel-ekonomi-ve-atik-yonetimi-dairesi-baskanligi-i-85475" xr:uid="{B9C613FA-26B9-420A-B448-6A4758D5604A}"/>
    <hyperlink ref="T104" r:id="rId22" xr:uid="{447354E5-F95F-4D5B-BF42-7CF254CB1871}"/>
    <hyperlink ref="N50" r:id="rId23" display="https://www.switch-asia.eu/site/assets/files/4388/plastic_policies_kz_final.pdf" xr:uid="{DC655806-D3AB-4330-89B1-A6CA8C541C25}"/>
    <hyperlink ref="N74" r:id="rId24" xr:uid="{D8882552-5FC7-488A-BF22-A4564405B6D0}"/>
    <hyperlink ref="N38" r:id="rId25" xr:uid="{7395DC0C-EC66-4EEE-A454-6C915A577864}"/>
    <hyperlink ref="N68" r:id="rId26" xr:uid="{0A708153-6A06-4561-82CA-642BCC05CAD0}"/>
    <hyperlink ref="N107" r:id="rId27" xr:uid="{5E540644-3D6A-40BF-B184-67F2EF3FE138}"/>
    <hyperlink ref="N108" r:id="rId28" xr:uid="{768CA5C2-0411-4D4A-9228-D17C329C13DB}"/>
    <hyperlink ref="N30" r:id="rId29" xr:uid="{6CCF64D6-BC23-4DA9-87AA-D65B8A026C4D}"/>
    <hyperlink ref="N54" r:id="rId30" xr:uid="{4AF62DAC-147F-46A2-B75D-D68BEADF0B53}"/>
    <hyperlink ref="N52" r:id="rId31" xr:uid="{24D20848-4DEF-4F6A-AE60-DDA717D426F4}"/>
    <hyperlink ref="N29" r:id="rId32" xr:uid="{B7FA82F7-E46A-4F7D-A731-AB8DCF2511D6}"/>
    <hyperlink ref="N8" r:id="rId33" display="https://cantocan.com.vn/recyclingratevn/images/vietnam-recycling-rate-and-cost-report-2022-by-eunomia-consultancy.pdf" xr:uid="{CABBFCE4-ADC9-4163-AB30-A3C88900E068}"/>
    <hyperlink ref="N9" r:id="rId34" xr:uid="{CA5F5A4F-5ACB-470D-A998-2F38E798EAC0}"/>
    <hyperlink ref="N109" r:id="rId35" xr:uid="{2EFC940C-68E0-4534-A331-CC2FEFCF2064}"/>
    <hyperlink ref="N110" r:id="rId36" xr:uid="{60E38220-159E-4025-BC5D-186B87754F62}"/>
    <hyperlink ref="T77" r:id="rId37" xr:uid="{791134E1-49F2-4611-9351-F1D2D9390F32}"/>
    <hyperlink ref="N25" r:id="rId38" xr:uid="{F5065104-E08D-4820-A8E7-2D0B5CE62694}"/>
    <hyperlink ref="N26" r:id="rId39" xr:uid="{62C1DC01-8141-4D25-9648-B283CD67B2B0}"/>
    <hyperlink ref="N27" r:id="rId40" xr:uid="{DD1A9D2D-B639-4613-9E4E-9B8D096EB960}"/>
    <hyperlink ref="T13" r:id="rId41" xr:uid="{1E18FFB4-42A5-437E-B5C3-695F7F844D7D}"/>
    <hyperlink ref="N32" r:id="rId42" location="accordion-d9afde0b6b-item-651f6b26d3" xr:uid="{6E80854D-0D9F-45B8-A658-CFE8DD1ED75A}"/>
    <hyperlink ref="N89" r:id="rId43" xr:uid="{FFFFBA9B-8E97-43AC-825D-2A3B55DC3852}"/>
    <hyperlink ref="N7" r:id="rId44" display="https://cantocan.com.vn/recyclingratevn/images/vietnam-recycling-rate-and-cost-report-2022-by-eunomia-consultancy.pdf" xr:uid="{19DF005E-39BA-4B41-8230-3498EC33D292}"/>
    <hyperlink ref="N94" r:id="rId45" xr:uid="{B8D80FFF-E7DB-447A-ABFA-5CF2C3220F0C}"/>
    <hyperlink ref="N35" r:id="rId46" xr:uid="{EF40CFD4-B306-4194-B5F4-7751D6783E75}"/>
    <hyperlink ref="T35" r:id="rId47" xr:uid="{5819A94B-1CE0-480A-9B52-0A9DC24773FC}"/>
    <hyperlink ref="N111" r:id="rId48" xr:uid="{EE68832F-1D00-464C-BA16-0603EDCF15A6}"/>
    <hyperlink ref="N15" r:id="rId49" xr:uid="{00EAA60D-8BCA-4B78-8EBA-66F40B591161}"/>
    <hyperlink ref="N102" r:id="rId50" xr:uid="{C33AB6B6-712F-4F25-88A9-4BDB78C9DE3D}"/>
    <hyperlink ref="N101" r:id="rId51" location=":~:text=Introduced%20in%20Russia%20in%202015,should%20be%20recycled%20in%20Russia." xr:uid="{1F35C614-8D9B-4D26-A590-EF91F778086C}"/>
    <hyperlink ref="N48" r:id="rId52" xr:uid="{AAB9150F-121C-44C4-BC6E-10BF436CCF63}"/>
    <hyperlink ref="N46" r:id="rId53" xr:uid="{A9E7C041-584A-4090-B279-CECA0F991ADD}"/>
    <hyperlink ref="N36" r:id="rId54" xr:uid="{51B9DD1F-6AD4-43F0-8942-27C2B13AFE30}"/>
    <hyperlink ref="N47" r:id="rId55" xr:uid="{382E7C82-C71B-4A16-87B7-980D42DD3161}"/>
    <hyperlink ref="H82" r:id="rId56" xr:uid="{0340FE5C-E591-4220-8EA5-4234AACC4258}"/>
    <hyperlink ref="N16" r:id="rId57" xr:uid="{94CB2583-FFAF-404C-8D62-6FDE9F6428F1}"/>
    <hyperlink ref="T22" r:id="rId58" xr:uid="{51CB80FE-5BE1-4CF0-8A01-2C344CF68EF1}"/>
    <hyperlink ref="N75" r:id="rId59" xr:uid="{02146E46-29A3-4D6A-A5B3-CF817B3E5943}"/>
    <hyperlink ref="N55" r:id="rId60" display="https://gridarendal-website-live.s3.amazonaws.com/production/documents/:s_document/1958/original/South_africa_brief.pdf?1747728630" xr:uid="{E7B461B0-09D4-4D99-8F4D-C6F3461B7F87}"/>
    <hyperlink ref="T72" r:id="rId61" location="/accesoLibre/generacion " xr:uid="{533B2650-338E-4350-93E9-172FE207AA28}"/>
    <hyperlink ref="T47" r:id="rId62" xr:uid="{940FBE30-D1EA-4D10-B21F-347649FB1E15}"/>
    <hyperlink ref="H83" r:id="rId63" xr:uid="{7F567E03-E781-4B0D-A071-C8A4545A3EEE}"/>
    <hyperlink ref="H84" r:id="rId64" xr:uid="{B13E5CC0-3673-49C4-831D-2ADD5EBDF8D3}"/>
    <hyperlink ref="T8" r:id="rId65" xr:uid="{DFDAE3C3-2072-478E-93EE-D530ADE225FE}"/>
    <hyperlink ref="T9" r:id="rId66" xr:uid="{720EC061-9447-484F-B01D-0A855026481D}"/>
    <hyperlink ref="T7" r:id="rId67" xr:uid="{387881F5-B2D8-405F-A912-0C4530217A97}"/>
    <hyperlink ref="N83" r:id="rId68" xr:uid="{5647F4D6-F940-45B1-9C11-981C45D86E13}"/>
    <hyperlink ref="N84" r:id="rId69" xr:uid="{FEF5CA45-6411-4B03-B4BB-757E420C3C63}"/>
    <hyperlink ref="T82" r:id="rId70" xr:uid="{36111F58-8D26-4DA9-96F3-A6D5A2AEF0E4}"/>
    <hyperlink ref="N58" r:id="rId71" xr:uid="{A26D203F-E787-462B-B960-054A69FC028C}"/>
    <hyperlink ref="T97" r:id="rId72" xr:uid="{D6D882E9-00B8-4286-95BA-3CCC97F74F33}"/>
    <hyperlink ref="H76" r:id="rId73" xr:uid="{BBF3BBAD-CC89-4861-BECF-9F4AE45C1DC9}"/>
    <hyperlink ref="H77" r:id="rId74" xr:uid="{9623C624-5F93-4D58-8D18-9E6B1A0A4E1E}"/>
    <hyperlink ref="H57" r:id="rId75" xr:uid="{CD1FE25B-CACB-4E9E-BCF3-BFF9805B10DB}"/>
    <hyperlink ref="T17" r:id="rId76" xr:uid="{2B0D4DD0-CAC7-470E-ACD1-4A6310C34764}"/>
    <hyperlink ref="T18" r:id="rId77" xr:uid="{8DC4DC1B-781E-491B-9E71-E78DCD0C71E3}"/>
    <hyperlink ref="N34" r:id="rId78" xr:uid="{9B5CFC6B-C2FA-40F3-911E-2939080ABDA1}"/>
    <hyperlink ref="T76" r:id="rId79" xr:uid="{F4C64A81-F336-4DA5-9891-623D41F07C4F}"/>
    <hyperlink ref="N60" r:id="rId80" xr:uid="{76431C4E-EA65-4190-9031-DA71FF009D5C}"/>
    <hyperlink ref="N87" r:id="rId81" display="https://and.dz/site/wp-content/uploads/rapport DMA2.pdf" xr:uid="{1979777B-6B3A-4EB6-BDEF-9FCAF3A81E05}"/>
    <hyperlink ref="T99" r:id="rId82" xr:uid="{CEAA99A1-D579-4BA2-9B11-752D3C5E552B}"/>
    <hyperlink ref="T16" r:id="rId83" xr:uid="{1F806B9E-B5DB-4DB5-9082-5EAB7B474D5B}"/>
    <hyperlink ref="T91" r:id="rId84" xr:uid="{3F04FDA3-D562-4CAC-967C-4FD244C991B5}"/>
    <hyperlink ref="T67" r:id="rId85" xr:uid="{F06555C5-197B-4A29-A4E2-BA9A043215BE}"/>
    <hyperlink ref="T31" r:id="rId86" xr:uid="{DF2F67A7-B0D4-41A3-93D0-6059A2A9B098}"/>
    <hyperlink ref="N78" r:id="rId87" xr:uid="{5D68ED06-DD7A-4CCC-8DCD-68294791F521}"/>
  </hyperlinks>
  <pageMargins left="0.7" right="0.7" top="0.75" bottom="0.75" header="0.3" footer="0.3"/>
  <legacyDrawing r:id="rId88"/>
  <extLst>
    <ext xmlns:x14="http://schemas.microsoft.com/office/spreadsheetml/2009/9/main" uri="{CCE6A557-97BC-4b89-ADB6-D9C93CAAB3DF}">
      <x14:dataValidations xmlns:xm="http://schemas.microsoft.com/office/excel/2006/main" count="1">
        <x14:dataValidation type="list" allowBlank="1" showInputMessage="1" showErrorMessage="1" xr:uid="{1921BD7E-2433-4AC6-9050-C0C8232C8C7A}">
          <x14:formula1>
            <xm:f>Lists!$B$4:$B$6</xm:f>
          </x14:formula1>
          <xm:sqref>C7:C111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37b5790-acd4-42f4-8325-bee80aaab7c3">HXSSKMFARZKA-1519940043-2076676</_dlc_DocId>
    <_dlc_DocIdUrl xmlns="c37b5790-acd4-42f4-8325-bee80aaab7c3">
      <Url>https://eunomiacouk.sharepoint.com/sites/EunomiaDrive/_layouts/15/DocIdRedir.aspx?ID=HXSSKMFARZKA-1519940043-2076676</Url>
      <Description>HXSSKMFARZKA-1519940043-2076676</Description>
    </_dlc_DocIdUrl>
    <TaxCatchAll xmlns="c37b5790-acd4-42f4-8325-bee80aaab7c3" xsi:nil="true"/>
    <lcf76f155ced4ddcb4097134ff3c332f xmlns="830b4a80-df52-4f19-a9d2-14f553f0806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11EA2DCDABDF445A86FC6908F54AC80" ma:contentTypeVersion="26" ma:contentTypeDescription="Create a new document." ma:contentTypeScope="" ma:versionID="56e799c002013fe4c47dde0f5a79a653">
  <xsd:schema xmlns:xsd="http://www.w3.org/2001/XMLSchema" xmlns:xs="http://www.w3.org/2001/XMLSchema" xmlns:p="http://schemas.microsoft.com/office/2006/metadata/properties" xmlns:ns1="http://schemas.microsoft.com/sharepoint/v3" xmlns:ns2="c37b5790-acd4-42f4-8325-bee80aaab7c3" xmlns:ns3="830b4a80-df52-4f19-a9d2-14f553f08061" targetNamespace="http://schemas.microsoft.com/office/2006/metadata/properties" ma:root="true" ma:fieldsID="a9b5de8ba9bd41987d00fb3a948750a8" ns1:_="" ns2:_="" ns3:_="">
    <xsd:import namespace="http://schemas.microsoft.com/sharepoint/v3"/>
    <xsd:import namespace="c37b5790-acd4-42f4-8325-bee80aaab7c3"/>
    <xsd:import namespace="830b4a80-df52-4f19-a9d2-14f553f0806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2:TaxCatchAll" minOccurs="0"/>
                <xsd:element ref="ns3:lcf76f155ced4ddcb4097134ff3c332f" minOccurs="0"/>
                <xsd:element ref="ns3:MediaServiceObjectDetectorVersion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b5790-acd4-42f4-8325-bee80aaab7c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133c8b8-f2d2-48c1-a635-3ac3b1960140}" ma:internalName="TaxCatchAll" ma:showField="CatchAllData" ma:web="c37b5790-acd4-42f4-8325-bee80aaab7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0b4a80-df52-4f19-a9d2-14f553f080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3c847585-2009-4777-bb37-4ef53c124a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7B1FFE4-B6EC-4FED-AD1E-E15B51EF64EB}">
  <ds:schemaRefs>
    <ds:schemaRef ds:uri="http://schemas.microsoft.com/office/2006/documentManagement/types"/>
    <ds:schemaRef ds:uri="http://purl.org/dc/elements/1.1/"/>
    <ds:schemaRef ds:uri="c37b5790-acd4-42f4-8325-bee80aaab7c3"/>
    <ds:schemaRef ds:uri="http://schemas.microsoft.com/office/2006/metadata/properties"/>
    <ds:schemaRef ds:uri="http://www.w3.org/XML/1998/namespace"/>
    <ds:schemaRef ds:uri="http://schemas.microsoft.com/office/infopath/2007/PartnerControls"/>
    <ds:schemaRef ds:uri="830b4a80-df52-4f19-a9d2-14f553f08061"/>
    <ds:schemaRef ds:uri="http://purl.org/dc/dcmitype/"/>
    <ds:schemaRef ds:uri="http://schemas.openxmlformats.org/package/2006/metadata/core-properties"/>
    <ds:schemaRef ds:uri="http://schemas.microsoft.com/sharepoint/v3"/>
    <ds:schemaRef ds:uri="http://purl.org/dc/terms/"/>
  </ds:schemaRefs>
</ds:datastoreItem>
</file>

<file path=customXml/itemProps2.xml><?xml version="1.0" encoding="utf-8"?>
<ds:datastoreItem xmlns:ds="http://schemas.openxmlformats.org/officeDocument/2006/customXml" ds:itemID="{C5150CDA-90FD-45B7-8E07-AA26174AC01B}">
  <ds:schemaRefs>
    <ds:schemaRef ds:uri="http://schemas.microsoft.com/sharepoint/v3/contenttype/forms"/>
  </ds:schemaRefs>
</ds:datastoreItem>
</file>

<file path=customXml/itemProps3.xml><?xml version="1.0" encoding="utf-8"?>
<ds:datastoreItem xmlns:ds="http://schemas.openxmlformats.org/officeDocument/2006/customXml" ds:itemID="{076152EF-418E-42BA-91D1-AAB0C157DE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7b5790-acd4-42f4-8325-bee80aaab7c3"/>
    <ds:schemaRef ds:uri="830b4a80-df52-4f19-a9d2-14f553f080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DF7BACA-B990-41D4-8BE7-8AB1A9292588}">
  <ds:schemaRefs>
    <ds:schemaRef ds:uri="http://schemas.microsoft.com/sharepoint/events"/>
  </ds:schemaRefs>
</ds:datastoreItem>
</file>

<file path=docMetadata/LabelInfo.xml><?xml version="1.0" encoding="utf-8"?>
<clbl:labelList xmlns:clbl="http://schemas.microsoft.com/office/2020/mipLabelMetadata">
  <clbl:label id="{9cb3ec79-f361-4fce-9968-760546e8777f}" enabled="0" method="" siteId="{9cb3ec79-f361-4fce-9968-760546e8777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Title Page</vt:lpstr>
      <vt:lpstr>Key</vt:lpstr>
      <vt:lpstr>Assumptions</vt:lpstr>
      <vt:lpstr>Outputs &gt;&gt;</vt:lpstr>
      <vt:lpstr>Summary</vt:lpstr>
      <vt:lpstr>Aluminium</vt:lpstr>
      <vt:lpstr>Glass</vt:lpstr>
      <vt:lpstr>PET</vt:lpstr>
      <vt:lpstr>Sources</vt:lpstr>
      <vt:lpstr>Reloop POM Values</vt:lpstr>
      <vt:lpstr>Lists</vt:lpstr>
      <vt:lpstr>Comparison to Previous Study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Claire Chu</dc:creator>
  <cp:keywords/>
  <dc:description/>
  <cp:lastModifiedBy>Marlen Bertram</cp:lastModifiedBy>
  <cp:revision/>
  <dcterms:created xsi:type="dcterms:W3CDTF">2014-08-19T10:00:43Z</dcterms:created>
  <dcterms:modified xsi:type="dcterms:W3CDTF">2026-02-20T03:08:45Z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0x010100811EA2DCDABDF445A86FC6908F54AC80</vt:lpwstr>
  </property>
  <property fmtid="{D5CDD505-2E9C-101B-9397-08002B2CF9AE}" pid="3" name="_dlc_DocIdItemGuid">
    <vt:lpwstr>9ca4b267-3b66-4a9a-a880-1947a6d68922</vt:lpwstr>
  </property>
  <property fmtid="{D5CDD505-2E9C-101B-9397-08002B2CF9AE}" pid="4" name="MediaServiceImageTags">
    <vt:lpwstr/>
  </property>
</Properties>
</file>